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4240" windowHeight="12600"/>
  </bookViews>
  <sheets>
    <sheet name="29-10-2021" sheetId="1" r:id="rId1"/>
    <sheet name="Feuil3" sheetId="3" r:id="rId2"/>
  </sheets>
  <calcPr calcId="124519"/>
</workbook>
</file>

<file path=xl/calcChain.xml><?xml version="1.0" encoding="utf-8"?>
<calcChain xmlns="http://schemas.openxmlformats.org/spreadsheetml/2006/main">
  <c r="S48" i="1"/>
  <c r="S35"/>
  <c r="S36"/>
  <c r="S37"/>
  <c r="S38"/>
  <c r="O51"/>
  <c r="S51" s="1"/>
  <c r="O45"/>
  <c r="S45" s="1"/>
  <c r="O42" l="1"/>
  <c r="S42" s="1"/>
  <c r="O40"/>
  <c r="O39"/>
  <c r="S39" s="1"/>
  <c r="O34"/>
  <c r="S34" s="1"/>
  <c r="O33"/>
  <c r="O32"/>
  <c r="O31"/>
  <c r="O22"/>
  <c r="S22" s="1"/>
  <c r="O15"/>
  <c r="S15" s="1"/>
  <c r="O5"/>
  <c r="S5" s="1"/>
  <c r="P38"/>
  <c r="P12"/>
  <c r="O12" s="1"/>
  <c r="Q12"/>
  <c r="P5"/>
  <c r="O21" l="1"/>
  <c r="S12"/>
  <c r="S21" s="1"/>
  <c r="Q45"/>
  <c r="Q15"/>
  <c r="Q5"/>
  <c r="R5"/>
  <c r="R37" l="1"/>
  <c r="R35"/>
  <c r="R22"/>
  <c r="N12"/>
  <c r="N5"/>
  <c r="N35" l="1"/>
  <c r="N22"/>
  <c r="M5" l="1"/>
  <c r="M35"/>
  <c r="L5" l="1"/>
  <c r="M29" l="1"/>
  <c r="M12"/>
  <c r="M48"/>
  <c r="M15"/>
  <c r="L45"/>
  <c r="K12"/>
  <c r="L40"/>
  <c r="L39"/>
  <c r="L38"/>
  <c r="L37"/>
  <c r="L34"/>
  <c r="L33"/>
  <c r="N33" s="1"/>
  <c r="L32"/>
  <c r="K5"/>
  <c r="M32" l="1"/>
  <c r="N32"/>
  <c r="M38"/>
  <c r="N38"/>
  <c r="M34"/>
  <c r="N34"/>
  <c r="M40"/>
  <c r="N40"/>
  <c r="M39"/>
  <c r="N39"/>
  <c r="J37"/>
  <c r="K45"/>
  <c r="K22"/>
  <c r="K29" s="1"/>
  <c r="K15"/>
  <c r="J5"/>
  <c r="J45" l="1"/>
  <c r="J40"/>
  <c r="J39"/>
  <c r="J38"/>
  <c r="J35"/>
  <c r="K35" s="1"/>
  <c r="J34"/>
  <c r="J33"/>
  <c r="J32"/>
  <c r="J31"/>
  <c r="J30"/>
  <c r="J22"/>
  <c r="J29" s="1"/>
  <c r="J15"/>
  <c r="J12"/>
</calcChain>
</file>

<file path=xl/sharedStrings.xml><?xml version="1.0" encoding="utf-8"?>
<sst xmlns="http://schemas.openxmlformats.org/spreadsheetml/2006/main" count="50" uniqueCount="50">
  <si>
    <t xml:space="preserve">Stock min </t>
  </si>
  <si>
    <t>Type matière</t>
  </si>
  <si>
    <t>Consommation moy/jour (kg)</t>
  </si>
  <si>
    <t>Consommation moy/mois (kgs)</t>
  </si>
  <si>
    <t>Consommation annuelle</t>
  </si>
  <si>
    <t>Délai de livraison (jour)</t>
  </si>
  <si>
    <t>Stock mini (kg)</t>
  </si>
  <si>
    <t>Stock Actuel</t>
  </si>
  <si>
    <t>sto 27/08/2021</t>
  </si>
  <si>
    <t>Cuivre</t>
  </si>
  <si>
    <t>Aluminium</t>
  </si>
  <si>
    <t>Almelec</t>
  </si>
  <si>
    <t>Grande section Above</t>
  </si>
  <si>
    <t>Petite section Bellow</t>
  </si>
  <si>
    <t>Aluminium + Almelec</t>
  </si>
  <si>
    <t>PE vierge</t>
  </si>
  <si>
    <t>LDPE 322N</t>
  </si>
  <si>
    <t>LLDPE 318B</t>
  </si>
  <si>
    <t>CROSLINK PE</t>
  </si>
  <si>
    <t>TOTAL LDPE</t>
  </si>
  <si>
    <t>SILANE</t>
  </si>
  <si>
    <t>SHULMAN</t>
  </si>
  <si>
    <t>NOIR DE CARBONE BPK1423</t>
  </si>
  <si>
    <t>TABOREX</t>
  </si>
  <si>
    <t>CTM 301209</t>
  </si>
  <si>
    <t>Graisse</t>
  </si>
  <si>
    <t>FEUILLARD</t>
  </si>
  <si>
    <t>0,18MM*15</t>
  </si>
  <si>
    <t>0,18MM*20</t>
  </si>
  <si>
    <t>0,18MM*25</t>
  </si>
  <si>
    <t>0,18MM*30</t>
  </si>
  <si>
    <t>0,50MM*40</t>
  </si>
  <si>
    <t>0,50MM*50</t>
  </si>
  <si>
    <t xml:space="preserve">Clariant </t>
  </si>
  <si>
    <t>GAMUTEC</t>
  </si>
  <si>
    <t>Résine PVC</t>
  </si>
  <si>
    <t xml:space="preserve">Craie </t>
  </si>
  <si>
    <t>DINP</t>
  </si>
  <si>
    <t>Stabilisant</t>
  </si>
  <si>
    <t>st 03/09/2021</t>
  </si>
  <si>
    <t>s</t>
  </si>
  <si>
    <t>st 10/09/2021</t>
  </si>
  <si>
    <t>ST 17/09/2021</t>
  </si>
  <si>
    <t>ST 24/09/2021</t>
  </si>
  <si>
    <t>st 01/10/2021</t>
  </si>
  <si>
    <t>st 08/10/2021</t>
  </si>
  <si>
    <t>st 15/10/2021</t>
  </si>
  <si>
    <t>st 22/10/2021</t>
  </si>
  <si>
    <t>ST 29/10/2021</t>
  </si>
  <si>
    <t>Couverture en jour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</si>
</sst>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26"/>
      <color theme="1"/>
      <name val="Bauhaus 93"/>
      <family val="5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slant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" fontId="4" fillId="3" borderId="6" xfId="0" applyNumberFormat="1" applyFont="1" applyFill="1" applyBorder="1"/>
    <xf numFmtId="3" fontId="4" fillId="0" borderId="16" xfId="0" applyNumberFormat="1" applyFont="1" applyBorder="1" applyAlignment="1">
      <alignment horizontal="right"/>
    </xf>
    <xf numFmtId="3" fontId="4" fillId="3" borderId="15" xfId="0" applyNumberFormat="1" applyFont="1" applyFill="1" applyBorder="1"/>
    <xf numFmtId="0" fontId="3" fillId="2" borderId="17" xfId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/>
    <xf numFmtId="3" fontId="3" fillId="0" borderId="8" xfId="0" applyNumberFormat="1" applyFont="1" applyBorder="1" applyAlignment="1">
      <alignment horizontal="right"/>
    </xf>
    <xf numFmtId="3" fontId="4" fillId="3" borderId="13" xfId="0" applyNumberFormat="1" applyFont="1" applyFill="1" applyBorder="1"/>
    <xf numFmtId="3" fontId="4" fillId="3" borderId="8" xfId="0" applyNumberFormat="1" applyFont="1" applyFill="1" applyBorder="1"/>
    <xf numFmtId="3" fontId="4" fillId="3" borderId="16" xfId="0" applyNumberFormat="1" applyFont="1" applyFill="1" applyBorder="1"/>
    <xf numFmtId="3" fontId="4" fillId="0" borderId="13" xfId="0" applyNumberFormat="1" applyFont="1" applyBorder="1" applyAlignment="1">
      <alignment horizontal="right" vertical="center"/>
    </xf>
    <xf numFmtId="3" fontId="4" fillId="0" borderId="26" xfId="0" applyNumberFormat="1" applyFont="1" applyBorder="1" applyAlignment="1">
      <alignment horizontal="right" vertical="center"/>
    </xf>
    <xf numFmtId="3" fontId="4" fillId="0" borderId="21" xfId="0" applyNumberFormat="1" applyFont="1" applyBorder="1" applyAlignment="1">
      <alignment horizontal="right" vertical="center"/>
    </xf>
    <xf numFmtId="0" fontId="3" fillId="2" borderId="12" xfId="1" applyFont="1" applyFill="1" applyBorder="1" applyAlignment="1">
      <alignment horizontal="left" vertical="center"/>
    </xf>
    <xf numFmtId="3" fontId="3" fillId="0" borderId="13" xfId="0" applyNumberFormat="1" applyFont="1" applyBorder="1" applyAlignment="1">
      <alignment horizontal="right"/>
    </xf>
    <xf numFmtId="0" fontId="3" fillId="2" borderId="14" xfId="1" applyFont="1" applyFill="1" applyBorder="1" applyAlignment="1">
      <alignment horizontal="left" vertical="center"/>
    </xf>
    <xf numFmtId="3" fontId="3" fillId="0" borderId="16" xfId="0" applyNumberFormat="1" applyFont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3" borderId="1" xfId="0" applyNumberFormat="1" applyFont="1" applyFill="1" applyBorder="1"/>
    <xf numFmtId="3" fontId="4" fillId="0" borderId="21" xfId="0" applyNumberFormat="1" applyFont="1" applyBorder="1" applyAlignment="1">
      <alignment horizontal="right"/>
    </xf>
    <xf numFmtId="3" fontId="4" fillId="3" borderId="21" xfId="0" applyNumberFormat="1" applyFont="1" applyFill="1" applyBorder="1"/>
    <xf numFmtId="0" fontId="3" fillId="0" borderId="20" xfId="0" applyFont="1" applyBorder="1" applyAlignment="1">
      <alignment vertical="center"/>
    </xf>
    <xf numFmtId="0" fontId="3" fillId="2" borderId="12" xfId="1" applyFont="1" applyFill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2" borderId="14" xfId="1" applyFont="1" applyFill="1" applyBorder="1" applyAlignment="1">
      <alignment vertical="center"/>
    </xf>
    <xf numFmtId="3" fontId="4" fillId="0" borderId="25" xfId="0" applyNumberFormat="1" applyFont="1" applyBorder="1" applyAlignment="1">
      <alignment horizontal="right"/>
    </xf>
    <xf numFmtId="0" fontId="3" fillId="0" borderId="2" xfId="0" applyFont="1" applyBorder="1" applyAlignment="1"/>
    <xf numFmtId="3" fontId="4" fillId="2" borderId="21" xfId="0" applyNumberFormat="1" applyFont="1" applyFill="1" applyBorder="1" applyAlignment="1">
      <alignment horizontal="right"/>
    </xf>
    <xf numFmtId="3" fontId="4" fillId="0" borderId="31" xfId="0" applyNumberFormat="1" applyFont="1" applyBorder="1" applyAlignment="1">
      <alignment horizontal="right"/>
    </xf>
    <xf numFmtId="3" fontId="4" fillId="3" borderId="23" xfId="0" applyNumberFormat="1" applyFont="1" applyFill="1" applyBorder="1"/>
    <xf numFmtId="3" fontId="4" fillId="0" borderId="32" xfId="0" applyNumberFormat="1" applyFont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vertical="center"/>
    </xf>
    <xf numFmtId="14" fontId="2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vertical="center"/>
    </xf>
    <xf numFmtId="3" fontId="4" fillId="6" borderId="15" xfId="0" applyNumberFormat="1" applyFont="1" applyFill="1" applyBorder="1" applyAlignment="1">
      <alignment horizontal="right"/>
    </xf>
    <xf numFmtId="3" fontId="4" fillId="6" borderId="9" xfId="0" applyNumberFormat="1" applyFont="1" applyFill="1" applyBorder="1" applyAlignment="1">
      <alignment horizontal="right"/>
    </xf>
    <xf numFmtId="3" fontId="4" fillId="6" borderId="6" xfId="0" applyNumberFormat="1" applyFont="1" applyFill="1" applyBorder="1" applyAlignment="1">
      <alignment horizontal="right"/>
    </xf>
    <xf numFmtId="3" fontId="4" fillId="6" borderId="1" xfId="0" applyNumberFormat="1" applyFont="1" applyFill="1" applyBorder="1" applyAlignment="1">
      <alignment horizontal="right"/>
    </xf>
    <xf numFmtId="3" fontId="4" fillId="6" borderId="7" xfId="0" applyNumberFormat="1" applyFont="1" applyFill="1" applyBorder="1" applyAlignment="1">
      <alignment horizontal="right"/>
    </xf>
    <xf numFmtId="3" fontId="4" fillId="6" borderId="15" xfId="0" applyNumberFormat="1" applyFont="1" applyFill="1" applyBorder="1"/>
    <xf numFmtId="3" fontId="4" fillId="6" borderId="9" xfId="0" applyNumberFormat="1" applyFont="1" applyFill="1" applyBorder="1"/>
    <xf numFmtId="3" fontId="4" fillId="6" borderId="6" xfId="0" applyNumberFormat="1" applyFont="1" applyFill="1" applyBorder="1"/>
    <xf numFmtId="3" fontId="4" fillId="6" borderId="1" xfId="0" applyNumberFormat="1" applyFont="1" applyFill="1" applyBorder="1"/>
    <xf numFmtId="3" fontId="4" fillId="6" borderId="7" xfId="0" applyNumberFormat="1" applyFont="1" applyFill="1" applyBorder="1"/>
    <xf numFmtId="3" fontId="4" fillId="6" borderId="1" xfId="0" applyNumberFormat="1" applyFont="1" applyFill="1" applyBorder="1" applyAlignment="1">
      <alignment horizontal="right" vertical="center"/>
    </xf>
    <xf numFmtId="0" fontId="0" fillId="5" borderId="21" xfId="0" applyFont="1" applyFill="1" applyBorder="1"/>
    <xf numFmtId="0" fontId="3" fillId="0" borderId="35" xfId="0" applyFont="1" applyBorder="1"/>
    <xf numFmtId="3" fontId="4" fillId="6" borderId="36" xfId="0" applyNumberFormat="1" applyFont="1" applyFill="1" applyBorder="1" applyAlignment="1">
      <alignment horizontal="right"/>
    </xf>
    <xf numFmtId="3" fontId="4" fillId="6" borderId="36" xfId="0" applyNumberFormat="1" applyFont="1" applyFill="1" applyBorder="1"/>
    <xf numFmtId="3" fontId="4" fillId="3" borderId="32" xfId="0" applyNumberFormat="1" applyFont="1" applyFill="1" applyBorder="1"/>
    <xf numFmtId="3" fontId="4" fillId="3" borderId="36" xfId="0" applyNumberFormat="1" applyFont="1" applyFill="1" applyBorder="1"/>
    <xf numFmtId="0" fontId="3" fillId="0" borderId="34" xfId="0" applyFont="1" applyBorder="1"/>
    <xf numFmtId="3" fontId="4" fillId="6" borderId="34" xfId="0" applyNumberFormat="1" applyFont="1" applyFill="1" applyBorder="1" applyAlignment="1">
      <alignment horizontal="right"/>
    </xf>
    <xf numFmtId="3" fontId="4" fillId="0" borderId="34" xfId="0" applyNumberFormat="1" applyFont="1" applyBorder="1" applyAlignment="1">
      <alignment horizontal="right"/>
    </xf>
    <xf numFmtId="3" fontId="4" fillId="6" borderId="34" xfId="0" applyNumberFormat="1" applyFont="1" applyFill="1" applyBorder="1"/>
    <xf numFmtId="3" fontId="4" fillId="3" borderId="34" xfId="0" applyNumberFormat="1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 applyAlignment="1">
      <alignment vertical="center"/>
    </xf>
    <xf numFmtId="3" fontId="4" fillId="3" borderId="3" xfId="0" applyNumberFormat="1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right" vertical="center"/>
    </xf>
    <xf numFmtId="3" fontId="4" fillId="3" borderId="4" xfId="0" applyNumberFormat="1" applyFont="1" applyFill="1" applyBorder="1" applyAlignment="1">
      <alignment horizontal="right" vertical="center"/>
    </xf>
    <xf numFmtId="3" fontId="4" fillId="3" borderId="18" xfId="0" applyNumberFormat="1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3" fontId="4" fillId="3" borderId="18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5" borderId="22" xfId="0" applyFont="1" applyFill="1" applyBorder="1"/>
    <xf numFmtId="0" fontId="3" fillId="2" borderId="29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3" fontId="4" fillId="6" borderId="3" xfId="0" applyNumberFormat="1" applyFont="1" applyFill="1" applyBorder="1" applyAlignment="1">
      <alignment horizontal="right" vertical="center"/>
    </xf>
    <xf numFmtId="3" fontId="4" fillId="6" borderId="9" xfId="0" applyNumberFormat="1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3" fillId="2" borderId="20" xfId="1" applyFont="1" applyFill="1" applyBorder="1" applyAlignment="1">
      <alignment horizontal="center" vertical="center"/>
    </xf>
    <xf numFmtId="0" fontId="0" fillId="5" borderId="19" xfId="0" applyFont="1" applyFill="1" applyBorder="1"/>
    <xf numFmtId="0" fontId="0" fillId="0" borderId="19" xfId="0" applyFont="1" applyBorder="1"/>
    <xf numFmtId="0" fontId="0" fillId="0" borderId="22" xfId="0" applyFont="1" applyBorder="1"/>
    <xf numFmtId="0" fontId="3" fillId="0" borderId="2" xfId="0" applyFont="1" applyBorder="1" applyAlignment="1">
      <alignment horizontal="center"/>
    </xf>
    <xf numFmtId="0" fontId="0" fillId="0" borderId="24" xfId="0" applyFont="1" applyBorder="1"/>
    <xf numFmtId="0" fontId="3" fillId="0" borderId="21" xfId="0" applyFont="1" applyBorder="1" applyAlignment="1">
      <alignment horizontal="center"/>
    </xf>
    <xf numFmtId="0" fontId="0" fillId="0" borderId="11" xfId="0" applyFont="1" applyBorder="1"/>
    <xf numFmtId="0" fontId="3" fillId="0" borderId="2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3" fillId="0" borderId="18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3" fontId="4" fillId="2" borderId="18" xfId="0" applyNumberFormat="1" applyFont="1" applyFill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9" xfId="0" applyBorder="1"/>
    <xf numFmtId="0" fontId="0" fillId="0" borderId="18" xfId="0" applyBorder="1"/>
    <xf numFmtId="3" fontId="4" fillId="0" borderId="9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" fontId="4" fillId="6" borderId="18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4" xfId="0" applyBorder="1"/>
    <xf numFmtId="3" fontId="4" fillId="4" borderId="1" xfId="0" applyNumberFormat="1" applyFont="1" applyFill="1" applyBorder="1" applyAlignment="1">
      <alignment horizontal="center" vertical="center"/>
    </xf>
    <xf numFmtId="3" fontId="6" fillId="3" borderId="13" xfId="0" applyNumberFormat="1" applyFont="1" applyFill="1" applyBorder="1"/>
    <xf numFmtId="3" fontId="6" fillId="3" borderId="6" xfId="0" applyNumberFormat="1" applyFont="1" applyFill="1" applyBorder="1"/>
    <xf numFmtId="3" fontId="6" fillId="3" borderId="3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 vertical="center"/>
    </xf>
    <xf numFmtId="3" fontId="6" fillId="3" borderId="18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2"/>
  <sheetViews>
    <sheetView tabSelected="1" workbookViewId="0">
      <selection activeCell="V6" sqref="V6"/>
    </sheetView>
  </sheetViews>
  <sheetFormatPr baseColWidth="10" defaultRowHeight="15"/>
  <cols>
    <col min="2" max="2" width="20" customWidth="1"/>
    <col min="3" max="5" width="11.5703125" bestFit="1" customWidth="1"/>
    <col min="6" max="6" width="9.85546875" customWidth="1"/>
    <col min="7" max="7" width="10.7109375" customWidth="1"/>
    <col min="8" max="9" width="10.7109375" hidden="1" customWidth="1"/>
    <col min="10" max="14" width="10.7109375" style="1" hidden="1" customWidth="1"/>
    <col min="15" max="15" width="12.28515625" style="1" customWidth="1"/>
    <col min="16" max="18" width="10.7109375" style="1" hidden="1" customWidth="1"/>
    <col min="19" max="19" width="13.5703125" customWidth="1"/>
  </cols>
  <sheetData>
    <row r="1" spans="1:19" ht="20.25">
      <c r="A1" s="1"/>
      <c r="B1" s="49"/>
      <c r="C1" s="83">
        <v>44498</v>
      </c>
      <c r="D1" s="83"/>
      <c r="E1" s="4"/>
      <c r="F1" s="5"/>
      <c r="G1" s="3"/>
      <c r="H1" s="3"/>
      <c r="I1" s="3"/>
      <c r="J1" s="3"/>
      <c r="K1" s="3" t="s">
        <v>40</v>
      </c>
      <c r="L1" s="3"/>
      <c r="M1" s="3"/>
      <c r="N1" s="3"/>
      <c r="O1" s="3"/>
      <c r="P1" s="3"/>
      <c r="Q1" s="3"/>
      <c r="R1" s="3"/>
      <c r="S1" s="3"/>
    </row>
    <row r="2" spans="1:19" ht="21" thickBot="1">
      <c r="A2" s="1"/>
      <c r="B2" s="4"/>
      <c r="C2" s="4"/>
      <c r="D2" s="4"/>
      <c r="E2" s="4"/>
      <c r="F2" s="4"/>
      <c r="G2" s="4"/>
      <c r="H2" s="1"/>
      <c r="I2" s="1"/>
      <c r="S2" s="1"/>
    </row>
    <row r="3" spans="1:19" ht="41.25" thickBot="1">
      <c r="A3" s="2"/>
      <c r="B3" s="2"/>
      <c r="C3" s="84" t="s">
        <v>0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6"/>
    </row>
    <row r="4" spans="1:19" ht="63.75" customHeight="1" thickBot="1">
      <c r="A4" s="133" t="s">
        <v>1</v>
      </c>
      <c r="B4" s="134"/>
      <c r="C4" s="6" t="s">
        <v>2</v>
      </c>
      <c r="D4" s="50" t="s">
        <v>3</v>
      </c>
      <c r="E4" s="50" t="s">
        <v>4</v>
      </c>
      <c r="F4" s="6" t="s">
        <v>5</v>
      </c>
      <c r="G4" s="50" t="s">
        <v>6</v>
      </c>
      <c r="H4" s="7" t="s">
        <v>7</v>
      </c>
      <c r="I4" s="7" t="s">
        <v>8</v>
      </c>
      <c r="J4" s="7" t="s">
        <v>39</v>
      </c>
      <c r="K4" s="7" t="s">
        <v>41</v>
      </c>
      <c r="L4" s="7" t="s">
        <v>42</v>
      </c>
      <c r="M4" s="7" t="s">
        <v>43</v>
      </c>
      <c r="N4" s="7" t="s">
        <v>44</v>
      </c>
      <c r="O4" s="7" t="s">
        <v>48</v>
      </c>
      <c r="P4" s="7" t="s">
        <v>47</v>
      </c>
      <c r="Q4" s="7" t="s">
        <v>46</v>
      </c>
      <c r="R4" s="7" t="s">
        <v>45</v>
      </c>
      <c r="S4" s="7" t="s">
        <v>49</v>
      </c>
    </row>
    <row r="5" spans="1:19">
      <c r="A5" s="124" t="s">
        <v>9</v>
      </c>
      <c r="B5" s="125"/>
      <c r="C5" s="97">
        <v>9000</v>
      </c>
      <c r="D5" s="89">
        <v>225000</v>
      </c>
      <c r="E5" s="24">
        <v>2880000</v>
      </c>
      <c r="F5" s="97">
        <v>17</v>
      </c>
      <c r="G5" s="131">
        <v>100000</v>
      </c>
      <c r="H5" s="76">
        <v>181752</v>
      </c>
      <c r="I5" s="76">
        <v>152008</v>
      </c>
      <c r="J5" s="76">
        <f>54970+49484+57801</f>
        <v>162255</v>
      </c>
      <c r="K5" s="76">
        <f>57614+54970+16800</f>
        <v>129384</v>
      </c>
      <c r="L5" s="76">
        <f>54970+4200+4200</f>
        <v>63370</v>
      </c>
      <c r="M5" s="76">
        <f>4576+4588+4574+4576+4592+4574+4582+4572+4558+4584+4574+27478</f>
        <v>77828</v>
      </c>
      <c r="N5" s="76">
        <f>4574+4576+4592+4500+4500+4500+4478+4480+4504+4502+4500+4500+4500+27487</f>
        <v>86193</v>
      </c>
      <c r="O5" s="76">
        <f>53888+18272+27242+16902+25369</f>
        <v>141673</v>
      </c>
      <c r="P5" s="76">
        <f>50745+9072+9513</f>
        <v>69330</v>
      </c>
      <c r="Q5" s="76">
        <f>18142+27230+13739</f>
        <v>59111</v>
      </c>
      <c r="R5" s="76">
        <f>4574+4576+4592+4500+4488+4500+4500+27478</f>
        <v>59208</v>
      </c>
      <c r="S5" s="80">
        <f>+O5/C5</f>
        <v>15.741444444444445</v>
      </c>
    </row>
    <row r="6" spans="1:19">
      <c r="A6" s="126"/>
      <c r="B6" s="127"/>
      <c r="C6" s="98"/>
      <c r="D6" s="90"/>
      <c r="E6" s="26"/>
      <c r="F6" s="98"/>
      <c r="G6" s="123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81"/>
    </row>
    <row r="7" spans="1:19">
      <c r="A7" s="126"/>
      <c r="B7" s="127"/>
      <c r="C7" s="98"/>
      <c r="D7" s="90"/>
      <c r="E7" s="26"/>
      <c r="F7" s="98"/>
      <c r="G7" s="123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81"/>
    </row>
    <row r="8" spans="1:19">
      <c r="A8" s="126"/>
      <c r="B8" s="127"/>
      <c r="C8" s="98"/>
      <c r="D8" s="90"/>
      <c r="E8" s="26"/>
      <c r="F8" s="98"/>
      <c r="G8" s="123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81"/>
    </row>
    <row r="9" spans="1:19">
      <c r="A9" s="126"/>
      <c r="B9" s="127"/>
      <c r="C9" s="98"/>
      <c r="D9" s="90"/>
      <c r="E9" s="26"/>
      <c r="F9" s="98"/>
      <c r="G9" s="123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81"/>
    </row>
    <row r="10" spans="1:19">
      <c r="A10" s="126"/>
      <c r="B10" s="127"/>
      <c r="C10" s="98"/>
      <c r="D10" s="90"/>
      <c r="E10" s="26"/>
      <c r="F10" s="98"/>
      <c r="G10" s="123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81"/>
    </row>
    <row r="11" spans="1:19" ht="15.75" thickBot="1">
      <c r="A11" s="128"/>
      <c r="B11" s="129"/>
      <c r="C11" s="130"/>
      <c r="D11" s="117"/>
      <c r="E11" s="25"/>
      <c r="F11" s="130"/>
      <c r="G11" s="132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82"/>
    </row>
    <row r="12" spans="1:19">
      <c r="A12" s="124" t="s">
        <v>10</v>
      </c>
      <c r="B12" s="125"/>
      <c r="C12" s="97">
        <v>5700</v>
      </c>
      <c r="D12" s="89">
        <v>142500</v>
      </c>
      <c r="E12" s="24">
        <v>1824000</v>
      </c>
      <c r="F12" s="97">
        <v>54</v>
      </c>
      <c r="G12" s="131">
        <v>100000</v>
      </c>
      <c r="H12" s="76">
        <v>45600</v>
      </c>
      <c r="I12" s="76">
        <v>26400</v>
      </c>
      <c r="J12" s="76">
        <f>4800+9600</f>
        <v>14400</v>
      </c>
      <c r="K12" s="76">
        <f>124310+8020+4800</f>
        <v>137130</v>
      </c>
      <c r="L12" s="76">
        <v>113070</v>
      </c>
      <c r="M12" s="76">
        <f>26065+50172</f>
        <v>76237</v>
      </c>
      <c r="N12" s="76">
        <f>16040+50172</f>
        <v>66212</v>
      </c>
      <c r="O12" s="76">
        <f>+P12</f>
        <v>29810</v>
      </c>
      <c r="P12" s="76">
        <f>29810</f>
        <v>29810</v>
      </c>
      <c r="Q12" s="76">
        <f>50172-12240</f>
        <v>37932</v>
      </c>
      <c r="R12" s="76">
        <v>50172</v>
      </c>
      <c r="S12" s="80">
        <f>+O12/C12</f>
        <v>5.2298245614035084</v>
      </c>
    </row>
    <row r="13" spans="1:19">
      <c r="A13" s="126"/>
      <c r="B13" s="127"/>
      <c r="C13" s="98"/>
      <c r="D13" s="90"/>
      <c r="E13" s="26"/>
      <c r="F13" s="98"/>
      <c r="G13" s="123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81"/>
    </row>
    <row r="14" spans="1:19" ht="15.75" thickBot="1">
      <c r="A14" s="128"/>
      <c r="B14" s="129"/>
      <c r="C14" s="130"/>
      <c r="D14" s="117"/>
      <c r="E14" s="25"/>
      <c r="F14" s="130"/>
      <c r="G14" s="132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82"/>
    </row>
    <row r="15" spans="1:19">
      <c r="A15" s="118" t="s">
        <v>11</v>
      </c>
      <c r="B15" s="120" t="s">
        <v>12</v>
      </c>
      <c r="C15" s="97">
        <v>2200</v>
      </c>
      <c r="D15" s="89">
        <v>55000</v>
      </c>
      <c r="E15" s="123">
        <v>704000</v>
      </c>
      <c r="F15" s="97">
        <v>54</v>
      </c>
      <c r="G15" s="131">
        <v>40000</v>
      </c>
      <c r="H15" s="80">
        <v>84000</v>
      </c>
      <c r="I15" s="80">
        <v>84000</v>
      </c>
      <c r="J15" s="80">
        <f>+I15</f>
        <v>84000</v>
      </c>
      <c r="K15" s="80">
        <f>14400+60000</f>
        <v>74400</v>
      </c>
      <c r="L15" s="80">
        <v>74400</v>
      </c>
      <c r="M15" s="80">
        <f>14400+60000</f>
        <v>74400</v>
      </c>
      <c r="N15" s="80">
        <v>72000</v>
      </c>
      <c r="O15" s="80">
        <f>+P15</f>
        <v>55200</v>
      </c>
      <c r="P15" s="80">
        <v>55200</v>
      </c>
      <c r="Q15" s="80">
        <f>7200+48000</f>
        <v>55200</v>
      </c>
      <c r="R15" s="80">
        <v>72000</v>
      </c>
      <c r="S15" s="80">
        <f>+O15/C15</f>
        <v>25.09090909090909</v>
      </c>
    </row>
    <row r="16" spans="1:19">
      <c r="A16" s="118"/>
      <c r="B16" s="121"/>
      <c r="C16" s="121"/>
      <c r="D16" s="121"/>
      <c r="E16" s="123"/>
      <c r="F16" s="121"/>
      <c r="G16" s="123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</row>
    <row r="17" spans="1:19" ht="15.75" thickBot="1">
      <c r="A17" s="118"/>
      <c r="B17" s="121"/>
      <c r="C17" s="121"/>
      <c r="D17" s="121"/>
      <c r="E17" s="123"/>
      <c r="F17" s="122"/>
      <c r="G17" s="123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</row>
    <row r="18" spans="1:19">
      <c r="A18" s="118"/>
      <c r="B18" s="118" t="s">
        <v>13</v>
      </c>
      <c r="C18" s="121"/>
      <c r="D18" s="121"/>
      <c r="E18" s="123"/>
      <c r="F18" s="97">
        <v>54</v>
      </c>
      <c r="G18" s="123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</row>
    <row r="19" spans="1:19">
      <c r="A19" s="118"/>
      <c r="B19" s="118"/>
      <c r="C19" s="121"/>
      <c r="D19" s="121"/>
      <c r="E19" s="123"/>
      <c r="F19" s="98"/>
      <c r="G19" s="123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</row>
    <row r="20" spans="1:19" ht="15.75" thickBot="1">
      <c r="A20" s="118"/>
      <c r="B20" s="119"/>
      <c r="C20" s="122"/>
      <c r="D20" s="122"/>
      <c r="E20" s="123"/>
      <c r="F20" s="130"/>
      <c r="G20" s="13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</row>
    <row r="21" spans="1:19" ht="15.75" thickBot="1">
      <c r="A21" s="119"/>
      <c r="B21" s="47" t="s">
        <v>14</v>
      </c>
      <c r="C21" s="51">
        <v>7900</v>
      </c>
      <c r="D21" s="48">
        <v>197500</v>
      </c>
      <c r="E21" s="123"/>
      <c r="F21" s="62">
        <v>54</v>
      </c>
      <c r="G21" s="75"/>
      <c r="H21" s="48">
        <v>129600</v>
      </c>
      <c r="I21" s="48"/>
      <c r="J21" s="48"/>
      <c r="K21" s="48"/>
      <c r="L21" s="48"/>
      <c r="M21" s="48"/>
      <c r="N21" s="48"/>
      <c r="O21" s="48">
        <f>+O12+O15</f>
        <v>85010</v>
      </c>
      <c r="P21" s="48"/>
      <c r="Q21" s="48"/>
      <c r="R21" s="48"/>
      <c r="S21" s="135">
        <f>+S12+S15</f>
        <v>30.320733652312597</v>
      </c>
    </row>
    <row r="22" spans="1:19">
      <c r="A22" s="91" t="s">
        <v>15</v>
      </c>
      <c r="B22" s="94" t="s">
        <v>16</v>
      </c>
      <c r="C22" s="97">
        <v>3200</v>
      </c>
      <c r="D22" s="89">
        <v>80000</v>
      </c>
      <c r="E22" s="8">
        <v>1024000</v>
      </c>
      <c r="F22" s="97">
        <v>60</v>
      </c>
      <c r="G22" s="46">
        <v>163200</v>
      </c>
      <c r="H22" s="76">
        <v>34200</v>
      </c>
      <c r="I22" s="76">
        <v>25500</v>
      </c>
      <c r="J22" s="76">
        <f>6000+4500</f>
        <v>10500</v>
      </c>
      <c r="K22" s="76">
        <f>12000+4500</f>
        <v>16500</v>
      </c>
      <c r="L22" s="76">
        <v>6000</v>
      </c>
      <c r="M22" s="76">
        <v>12000</v>
      </c>
      <c r="N22" s="76">
        <f>10500+25500</f>
        <v>36000</v>
      </c>
      <c r="O22" s="76">
        <f>4500+16500</f>
        <v>21000</v>
      </c>
      <c r="P22" s="76">
        <v>7500</v>
      </c>
      <c r="Q22" s="76">
        <v>12000</v>
      </c>
      <c r="R22" s="76">
        <f>15000+13500</f>
        <v>28500</v>
      </c>
      <c r="S22" s="138">
        <f>+O22/C22</f>
        <v>6.5625</v>
      </c>
    </row>
    <row r="23" spans="1:19">
      <c r="A23" s="92"/>
      <c r="B23" s="95"/>
      <c r="C23" s="98"/>
      <c r="D23" s="90"/>
      <c r="E23" s="34"/>
      <c r="F23" s="98"/>
      <c r="G23" s="42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139"/>
    </row>
    <row r="24" spans="1:19">
      <c r="A24" s="92"/>
      <c r="B24" s="95"/>
      <c r="C24" s="98"/>
      <c r="D24" s="90"/>
      <c r="E24" s="34"/>
      <c r="F24" s="98"/>
      <c r="G24" s="42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139"/>
    </row>
    <row r="25" spans="1:19">
      <c r="A25" s="92"/>
      <c r="B25" s="95"/>
      <c r="C25" s="98"/>
      <c r="D25" s="90"/>
      <c r="E25" s="34"/>
      <c r="F25" s="98"/>
      <c r="G25" s="42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139"/>
    </row>
    <row r="26" spans="1:19">
      <c r="A26" s="92"/>
      <c r="B26" s="96"/>
      <c r="C26" s="99"/>
      <c r="D26" s="100"/>
      <c r="E26" s="34"/>
      <c r="F26" s="99"/>
      <c r="G26" s="42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140"/>
    </row>
    <row r="27" spans="1:19" ht="15.75" thickBot="1">
      <c r="A27" s="93"/>
      <c r="B27" s="64" t="s">
        <v>17</v>
      </c>
      <c r="C27" s="65">
        <v>110</v>
      </c>
      <c r="D27" s="45">
        <v>2750</v>
      </c>
      <c r="E27" s="45">
        <v>35200</v>
      </c>
      <c r="F27" s="66">
        <v>60</v>
      </c>
      <c r="G27" s="45">
        <v>5610</v>
      </c>
      <c r="H27" s="67">
        <v>0</v>
      </c>
      <c r="I27" s="67"/>
      <c r="J27" s="67"/>
      <c r="K27" s="67">
        <v>0</v>
      </c>
      <c r="L27" s="67">
        <v>0</v>
      </c>
      <c r="M27" s="67">
        <v>0</v>
      </c>
      <c r="N27" s="67"/>
      <c r="O27" s="67"/>
      <c r="P27" s="67"/>
      <c r="Q27" s="67"/>
      <c r="R27" s="67"/>
      <c r="S27" s="68">
        <v>0</v>
      </c>
    </row>
    <row r="28" spans="1:19">
      <c r="A28" s="63"/>
      <c r="B28" s="69" t="s">
        <v>18</v>
      </c>
      <c r="C28" s="70"/>
      <c r="D28" s="71"/>
      <c r="E28" s="71"/>
      <c r="F28" s="72"/>
      <c r="G28" s="71"/>
      <c r="H28" s="73">
        <v>107500</v>
      </c>
      <c r="I28" s="73">
        <v>107500</v>
      </c>
      <c r="J28" s="73">
        <v>107500</v>
      </c>
      <c r="K28" s="73">
        <v>107500</v>
      </c>
      <c r="L28" s="73">
        <v>105000</v>
      </c>
      <c r="M28" s="73">
        <v>105000</v>
      </c>
      <c r="N28" s="73">
        <v>105000</v>
      </c>
      <c r="O28" s="73">
        <v>105000</v>
      </c>
      <c r="P28" s="73">
        <v>105000</v>
      </c>
      <c r="Q28" s="73">
        <v>105000</v>
      </c>
      <c r="R28" s="73">
        <v>105000</v>
      </c>
      <c r="S28" s="73"/>
    </row>
    <row r="29" spans="1:19" ht="15.75" thickBot="1">
      <c r="A29" s="63"/>
      <c r="B29" s="69" t="s">
        <v>19</v>
      </c>
      <c r="C29" s="70"/>
      <c r="D29" s="71"/>
      <c r="E29" s="71"/>
      <c r="F29" s="72"/>
      <c r="G29" s="71"/>
      <c r="H29" s="73">
        <v>141700</v>
      </c>
      <c r="I29" s="73">
        <v>133000</v>
      </c>
      <c r="J29" s="73">
        <f>+J22+J28</f>
        <v>118000</v>
      </c>
      <c r="K29" s="73">
        <f>+K22+K28</f>
        <v>124000</v>
      </c>
      <c r="L29" s="73"/>
      <c r="M29" s="73">
        <f>+M22+M28</f>
        <v>117000</v>
      </c>
      <c r="N29" s="73"/>
      <c r="O29" s="73"/>
      <c r="P29" s="73"/>
      <c r="Q29" s="73"/>
      <c r="R29" s="73"/>
      <c r="S29" s="73"/>
    </row>
    <row r="30" spans="1:19" ht="15.75" thickBot="1">
      <c r="A30" s="107" t="s">
        <v>20</v>
      </c>
      <c r="B30" s="108"/>
      <c r="C30" s="53">
        <v>25</v>
      </c>
      <c r="D30" s="34">
        <v>625</v>
      </c>
      <c r="E30" s="34">
        <v>8000</v>
      </c>
      <c r="F30" s="58">
        <v>33</v>
      </c>
      <c r="G30" s="34">
        <v>701.25</v>
      </c>
      <c r="H30" s="35">
        <v>600</v>
      </c>
      <c r="I30" s="35">
        <v>400</v>
      </c>
      <c r="J30" s="35">
        <f>+I30</f>
        <v>400</v>
      </c>
      <c r="K30" s="35">
        <v>400</v>
      </c>
      <c r="L30" s="35">
        <v>400</v>
      </c>
      <c r="M30" s="35">
        <v>400</v>
      </c>
      <c r="N30" s="35">
        <v>400</v>
      </c>
      <c r="O30" s="136">
        <v>0</v>
      </c>
      <c r="P30" s="136">
        <v>0</v>
      </c>
      <c r="Q30" s="136">
        <v>0</v>
      </c>
      <c r="R30" s="136">
        <v>0</v>
      </c>
      <c r="S30" s="137">
        <v>0</v>
      </c>
    </row>
    <row r="31" spans="1:19" ht="15.75" thickBot="1">
      <c r="A31" s="36" t="s">
        <v>21</v>
      </c>
      <c r="B31" s="37" t="s">
        <v>22</v>
      </c>
      <c r="C31" s="54">
        <v>50</v>
      </c>
      <c r="D31" s="10">
        <v>1250</v>
      </c>
      <c r="E31" s="10">
        <v>16000</v>
      </c>
      <c r="F31" s="59">
        <v>33</v>
      </c>
      <c r="G31" s="10">
        <v>1402.5</v>
      </c>
      <c r="H31" s="21">
        <v>1300</v>
      </c>
      <c r="I31" s="21">
        <v>1300</v>
      </c>
      <c r="J31" s="21">
        <f>+I31</f>
        <v>1300</v>
      </c>
      <c r="K31" s="21">
        <v>1300</v>
      </c>
      <c r="L31" s="21">
        <v>1300</v>
      </c>
      <c r="M31" s="21">
        <v>1300</v>
      </c>
      <c r="N31" s="21">
        <v>1300</v>
      </c>
      <c r="O31" s="21">
        <f>+P31</f>
        <v>1100</v>
      </c>
      <c r="P31" s="21">
        <v>1100</v>
      </c>
      <c r="Q31" s="21">
        <v>1100</v>
      </c>
      <c r="R31" s="21">
        <v>1300</v>
      </c>
      <c r="S31" s="11">
        <v>26</v>
      </c>
    </row>
    <row r="32" spans="1:19" ht="15.75" thickBot="1">
      <c r="A32" s="38" t="s">
        <v>23</v>
      </c>
      <c r="B32" s="39" t="s">
        <v>24</v>
      </c>
      <c r="C32" s="52">
        <v>10</v>
      </c>
      <c r="D32" s="12">
        <v>250</v>
      </c>
      <c r="E32" s="12">
        <v>3200</v>
      </c>
      <c r="F32" s="57">
        <v>33</v>
      </c>
      <c r="G32" s="12">
        <v>280.5</v>
      </c>
      <c r="H32" s="23">
        <v>3180</v>
      </c>
      <c r="I32" s="21">
        <v>3180</v>
      </c>
      <c r="J32" s="21">
        <f>+I32</f>
        <v>3180</v>
      </c>
      <c r="K32" s="21">
        <v>3180</v>
      </c>
      <c r="L32" s="21">
        <f>+K32</f>
        <v>3180</v>
      </c>
      <c r="M32" s="21">
        <f>+L32</f>
        <v>3180</v>
      </c>
      <c r="N32" s="21">
        <f>+L32</f>
        <v>3180</v>
      </c>
      <c r="O32" s="21">
        <f>+P32</f>
        <v>3180</v>
      </c>
      <c r="P32" s="21">
        <v>3180</v>
      </c>
      <c r="Q32" s="21">
        <v>3180</v>
      </c>
      <c r="R32" s="21">
        <v>3180</v>
      </c>
      <c r="S32" s="13">
        <v>318</v>
      </c>
    </row>
    <row r="33" spans="1:19" ht="15.75" thickBot="1">
      <c r="A33" s="105" t="s">
        <v>25</v>
      </c>
      <c r="B33" s="109"/>
      <c r="C33" s="55">
        <v>264</v>
      </c>
      <c r="D33" s="32">
        <v>6600</v>
      </c>
      <c r="E33" s="32">
        <v>84480</v>
      </c>
      <c r="F33" s="60">
        <v>21</v>
      </c>
      <c r="G33" s="32">
        <v>4712.4000000000005</v>
      </c>
      <c r="H33" s="23">
        <v>8414</v>
      </c>
      <c r="I33" s="21">
        <v>8414</v>
      </c>
      <c r="J33" s="21">
        <f>+I33</f>
        <v>8414</v>
      </c>
      <c r="K33" s="21">
        <v>8414</v>
      </c>
      <c r="L33" s="21">
        <f>+K33</f>
        <v>8414</v>
      </c>
      <c r="M33" s="21">
        <v>7474</v>
      </c>
      <c r="N33" s="21">
        <f>+L33</f>
        <v>8414</v>
      </c>
      <c r="O33" s="21">
        <f>+P33</f>
        <v>8414</v>
      </c>
      <c r="P33" s="21">
        <v>8414</v>
      </c>
      <c r="Q33" s="21">
        <v>8414</v>
      </c>
      <c r="R33" s="21">
        <v>8414</v>
      </c>
      <c r="S33" s="33">
        <v>31.871212121212121</v>
      </c>
    </row>
    <row r="34" spans="1:19" ht="15.75" thickBot="1">
      <c r="A34" s="101" t="s">
        <v>26</v>
      </c>
      <c r="B34" s="27" t="s">
        <v>27</v>
      </c>
      <c r="C34" s="54">
        <v>100</v>
      </c>
      <c r="D34" s="10">
        <v>2500</v>
      </c>
      <c r="E34" s="28">
        <v>32000</v>
      </c>
      <c r="F34" s="59">
        <v>35</v>
      </c>
      <c r="G34" s="10">
        <v>2975</v>
      </c>
      <c r="H34" s="21">
        <v>8000</v>
      </c>
      <c r="I34" s="21">
        <v>8000</v>
      </c>
      <c r="J34" s="21">
        <f>+I34</f>
        <v>8000</v>
      </c>
      <c r="K34" s="21">
        <v>8000</v>
      </c>
      <c r="L34" s="21">
        <f>+K34</f>
        <v>8000</v>
      </c>
      <c r="M34" s="21">
        <f>+L34</f>
        <v>8000</v>
      </c>
      <c r="N34" s="21">
        <f>+L34</f>
        <v>8000</v>
      </c>
      <c r="O34" s="21">
        <f>+P34</f>
        <v>8000</v>
      </c>
      <c r="P34" s="21">
        <v>8000</v>
      </c>
      <c r="Q34" s="21">
        <v>8000</v>
      </c>
      <c r="R34" s="21">
        <v>8000</v>
      </c>
      <c r="S34" s="11">
        <f>+O34/C34</f>
        <v>80</v>
      </c>
    </row>
    <row r="35" spans="1:19" ht="15.75" thickBot="1">
      <c r="A35" s="102"/>
      <c r="B35" s="14" t="s">
        <v>28</v>
      </c>
      <c r="C35" s="56">
        <v>270</v>
      </c>
      <c r="D35" s="9">
        <v>6750</v>
      </c>
      <c r="E35" s="20">
        <v>86400</v>
      </c>
      <c r="F35" s="61">
        <v>35</v>
      </c>
      <c r="G35" s="9">
        <v>8032.5</v>
      </c>
      <c r="H35" s="22">
        <v>14772</v>
      </c>
      <c r="I35" s="21">
        <v>14772</v>
      </c>
      <c r="J35" s="21">
        <f>+I35-990-705</f>
        <v>13077</v>
      </c>
      <c r="K35" s="21">
        <f>+J35-635-1000</f>
        <v>11442</v>
      </c>
      <c r="L35" s="21">
        <v>8598</v>
      </c>
      <c r="M35" s="21">
        <f>3698+1392+1260</f>
        <v>6350</v>
      </c>
      <c r="N35" s="21">
        <f>802+1164+1392</f>
        <v>3358</v>
      </c>
      <c r="O35" s="21">
        <v>12300</v>
      </c>
      <c r="P35" s="21">
        <v>0</v>
      </c>
      <c r="Q35" s="21">
        <v>0</v>
      </c>
      <c r="R35" s="21">
        <f>802+1164</f>
        <v>1966</v>
      </c>
      <c r="S35" s="11">
        <f t="shared" ref="S35:S39" si="0">+O35/C35</f>
        <v>45.555555555555557</v>
      </c>
    </row>
    <row r="36" spans="1:19" ht="15.75" thickBot="1">
      <c r="A36" s="103"/>
      <c r="B36" s="14" t="s">
        <v>29</v>
      </c>
      <c r="C36" s="56">
        <v>115</v>
      </c>
      <c r="D36" s="9">
        <v>2875</v>
      </c>
      <c r="E36" s="20">
        <v>36800</v>
      </c>
      <c r="F36" s="61">
        <v>35</v>
      </c>
      <c r="G36" s="9">
        <v>3421.25</v>
      </c>
      <c r="H36" s="22">
        <v>1170</v>
      </c>
      <c r="I36" s="21">
        <v>1170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8556</v>
      </c>
      <c r="P36" s="21">
        <v>0</v>
      </c>
      <c r="Q36" s="21">
        <v>0</v>
      </c>
      <c r="R36" s="21">
        <v>0</v>
      </c>
      <c r="S36" s="11">
        <f t="shared" si="0"/>
        <v>74.400000000000006</v>
      </c>
    </row>
    <row r="37" spans="1:19" ht="15.75" thickBot="1">
      <c r="A37" s="102"/>
      <c r="B37" s="14" t="s">
        <v>30</v>
      </c>
      <c r="C37" s="56">
        <v>135</v>
      </c>
      <c r="D37" s="9">
        <v>3375</v>
      </c>
      <c r="E37" s="20">
        <v>43200</v>
      </c>
      <c r="F37" s="61">
        <v>35</v>
      </c>
      <c r="G37" s="9">
        <v>4016.25</v>
      </c>
      <c r="H37" s="22">
        <v>3555</v>
      </c>
      <c r="I37" s="21">
        <v>3555</v>
      </c>
      <c r="J37" s="21">
        <f>+I37</f>
        <v>3555</v>
      </c>
      <c r="K37" s="21">
        <v>1505</v>
      </c>
      <c r="L37" s="21">
        <f>+K37</f>
        <v>1505</v>
      </c>
      <c r="M37" s="21">
        <v>0</v>
      </c>
      <c r="N37" s="21">
        <v>0</v>
      </c>
      <c r="O37" s="21">
        <v>4744</v>
      </c>
      <c r="P37" s="21">
        <v>0</v>
      </c>
      <c r="Q37" s="21">
        <v>450</v>
      </c>
      <c r="R37" s="21">
        <f>460+450</f>
        <v>910</v>
      </c>
      <c r="S37" s="11">
        <f t="shared" si="0"/>
        <v>35.140740740740739</v>
      </c>
    </row>
    <row r="38" spans="1:19" ht="15.75" thickBot="1">
      <c r="A38" s="102"/>
      <c r="B38" s="14" t="s">
        <v>31</v>
      </c>
      <c r="C38" s="56">
        <v>195</v>
      </c>
      <c r="D38" s="9">
        <v>4875</v>
      </c>
      <c r="E38" s="20">
        <v>62400</v>
      </c>
      <c r="F38" s="61">
        <v>35</v>
      </c>
      <c r="G38" s="9"/>
      <c r="H38" s="22">
        <v>11796</v>
      </c>
      <c r="I38" s="21">
        <v>11796</v>
      </c>
      <c r="J38" s="21">
        <f>+I38</f>
        <v>11796</v>
      </c>
      <c r="K38" s="21">
        <v>11796</v>
      </c>
      <c r="L38" s="21">
        <f>+K38</f>
        <v>11796</v>
      </c>
      <c r="M38" s="21">
        <f>+L38</f>
        <v>11796</v>
      </c>
      <c r="N38" s="21">
        <f>+L38</f>
        <v>11796</v>
      </c>
      <c r="O38" s="136">
        <v>0</v>
      </c>
      <c r="P38" s="136">
        <f>+Q38-1317-853</f>
        <v>8521</v>
      </c>
      <c r="Q38" s="136">
        <v>10691</v>
      </c>
      <c r="R38" s="136">
        <v>10691</v>
      </c>
      <c r="S38" s="137">
        <f t="shared" si="0"/>
        <v>0</v>
      </c>
    </row>
    <row r="39" spans="1:19" ht="15.75" thickBot="1">
      <c r="A39" s="104"/>
      <c r="B39" s="29" t="s">
        <v>32</v>
      </c>
      <c r="C39" s="52">
        <v>580</v>
      </c>
      <c r="D39" s="12">
        <v>14500</v>
      </c>
      <c r="E39" s="30">
        <v>185600</v>
      </c>
      <c r="F39" s="57">
        <v>35</v>
      </c>
      <c r="G39" s="12">
        <v>17255</v>
      </c>
      <c r="H39" s="23">
        <v>20267</v>
      </c>
      <c r="I39" s="21">
        <v>20267</v>
      </c>
      <c r="J39" s="21">
        <f>+I39</f>
        <v>20267</v>
      </c>
      <c r="K39" s="21">
        <v>20267</v>
      </c>
      <c r="L39" s="21">
        <f>+K39</f>
        <v>20267</v>
      </c>
      <c r="M39" s="21">
        <f>+L39</f>
        <v>20267</v>
      </c>
      <c r="N39" s="21">
        <f>+L39-705</f>
        <v>19562</v>
      </c>
      <c r="O39" s="21">
        <f>+P39-2000</f>
        <v>11802</v>
      </c>
      <c r="P39" s="21">
        <v>13802</v>
      </c>
      <c r="Q39" s="21">
        <v>14802</v>
      </c>
      <c r="R39" s="21">
        <v>14802</v>
      </c>
      <c r="S39" s="11">
        <f t="shared" si="0"/>
        <v>20.348275862068967</v>
      </c>
    </row>
    <row r="40" spans="1:19" ht="15.75" thickBot="1">
      <c r="A40" s="105" t="s">
        <v>33</v>
      </c>
      <c r="B40" s="106"/>
      <c r="C40" s="55">
        <v>2.85</v>
      </c>
      <c r="D40" s="32">
        <v>71.25</v>
      </c>
      <c r="E40" s="32">
        <v>912</v>
      </c>
      <c r="F40" s="60">
        <v>35</v>
      </c>
      <c r="G40" s="43">
        <v>99.75</v>
      </c>
      <c r="H40" s="44">
        <v>1680</v>
      </c>
      <c r="I40" s="21">
        <v>1680</v>
      </c>
      <c r="J40" s="21">
        <f>+I40</f>
        <v>1680</v>
      </c>
      <c r="K40" s="21">
        <v>1680</v>
      </c>
      <c r="L40" s="21">
        <f>+K40</f>
        <v>1680</v>
      </c>
      <c r="M40" s="21">
        <f>+L40</f>
        <v>1680</v>
      </c>
      <c r="N40" s="21">
        <f>+L40</f>
        <v>1680</v>
      </c>
      <c r="O40" s="21">
        <f>+P40</f>
        <v>1680</v>
      </c>
      <c r="P40" s="21">
        <v>1680</v>
      </c>
      <c r="Q40" s="21">
        <v>1680</v>
      </c>
      <c r="R40" s="21">
        <v>1680</v>
      </c>
      <c r="S40" s="33">
        <v>589.47368421052624</v>
      </c>
    </row>
    <row r="41" spans="1:19" ht="15.75" thickBot="1">
      <c r="A41" s="16"/>
      <c r="B41" s="17"/>
      <c r="C41" s="15"/>
      <c r="D41" s="15"/>
      <c r="E41" s="15"/>
      <c r="F41" s="18"/>
      <c r="G41" s="15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 ht="15.75" thickBot="1">
      <c r="A42" s="110" t="s">
        <v>34</v>
      </c>
      <c r="B42" s="113" t="s">
        <v>35</v>
      </c>
      <c r="C42" s="87">
        <v>4600</v>
      </c>
      <c r="D42" s="89">
        <v>115000</v>
      </c>
      <c r="E42" s="32"/>
      <c r="F42" s="87">
        <v>21</v>
      </c>
      <c r="G42" s="32">
        <v>82110</v>
      </c>
      <c r="H42" s="76">
        <v>20625</v>
      </c>
      <c r="I42" s="76">
        <v>13200</v>
      </c>
      <c r="J42" s="76">
        <v>3300</v>
      </c>
      <c r="K42" s="76">
        <v>4650</v>
      </c>
      <c r="L42" s="76">
        <v>7250</v>
      </c>
      <c r="M42" s="76">
        <v>14750</v>
      </c>
      <c r="N42" s="76">
        <v>26000</v>
      </c>
      <c r="O42" s="76">
        <f>1250+6500</f>
        <v>7750</v>
      </c>
      <c r="P42" s="76">
        <v>15750</v>
      </c>
      <c r="Q42" s="76">
        <v>14000</v>
      </c>
      <c r="R42" s="76">
        <v>15000</v>
      </c>
      <c r="S42" s="138">
        <f>+O42/C42</f>
        <v>1.6847826086956521</v>
      </c>
    </row>
    <row r="43" spans="1:19" ht="15.75" thickBot="1">
      <c r="A43" s="111"/>
      <c r="B43" s="114"/>
      <c r="C43" s="88"/>
      <c r="D43" s="90"/>
      <c r="E43" s="40"/>
      <c r="F43" s="88"/>
      <c r="G43" s="40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139"/>
    </row>
    <row r="44" spans="1:19" ht="15.75" thickBot="1">
      <c r="A44" s="111"/>
      <c r="B44" s="115"/>
      <c r="C44" s="116"/>
      <c r="D44" s="117"/>
      <c r="E44" s="32"/>
      <c r="F44" s="116"/>
      <c r="G44" s="32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141"/>
    </row>
    <row r="45" spans="1:19" ht="15.75" thickBot="1">
      <c r="A45" s="111"/>
      <c r="B45" s="113" t="s">
        <v>36</v>
      </c>
      <c r="C45" s="87">
        <v>3000</v>
      </c>
      <c r="D45" s="89">
        <v>75000</v>
      </c>
      <c r="E45" s="40"/>
      <c r="F45" s="87">
        <v>25</v>
      </c>
      <c r="G45" s="40">
        <v>63750</v>
      </c>
      <c r="H45" s="76">
        <v>55650</v>
      </c>
      <c r="I45" s="76">
        <v>43500</v>
      </c>
      <c r="J45" s="76">
        <f>3600+1500+2700+27300</f>
        <v>35100</v>
      </c>
      <c r="K45" s="76">
        <f>10800+19500</f>
        <v>30300</v>
      </c>
      <c r="L45" s="76">
        <f>19500+20250</f>
        <v>39750</v>
      </c>
      <c r="M45" s="76">
        <v>141000</v>
      </c>
      <c r="N45" s="76">
        <v>124950</v>
      </c>
      <c r="O45" s="76">
        <f>93600+1500+1200</f>
        <v>96300</v>
      </c>
      <c r="P45" s="76">
        <v>109600</v>
      </c>
      <c r="Q45" s="76">
        <f>2600+2400+9000+102700</f>
        <v>116700</v>
      </c>
      <c r="R45" s="76">
        <v>106600</v>
      </c>
      <c r="S45" s="80">
        <f t="shared" ref="S45:S50" si="1">+O45/C45</f>
        <v>32.1</v>
      </c>
    </row>
    <row r="46" spans="1:19" ht="15.75" thickBot="1">
      <c r="A46" s="111"/>
      <c r="B46" s="114"/>
      <c r="C46" s="88"/>
      <c r="D46" s="90"/>
      <c r="E46" s="40"/>
      <c r="F46" s="88"/>
      <c r="G46" s="40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81"/>
    </row>
    <row r="47" spans="1:19" ht="15.75" thickBot="1">
      <c r="A47" s="111"/>
      <c r="B47" s="115"/>
      <c r="C47" s="116"/>
      <c r="D47" s="117"/>
      <c r="E47" s="40"/>
      <c r="F47" s="116"/>
      <c r="G47" s="40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82"/>
    </row>
    <row r="48" spans="1:19">
      <c r="A48" s="111"/>
      <c r="B48" s="113" t="s">
        <v>37</v>
      </c>
      <c r="C48" s="87">
        <v>2300</v>
      </c>
      <c r="D48" s="89">
        <v>57500</v>
      </c>
      <c r="E48" s="10"/>
      <c r="F48" s="87">
        <v>25</v>
      </c>
      <c r="G48" s="10"/>
      <c r="H48" s="76">
        <v>118000</v>
      </c>
      <c r="I48" s="76">
        <v>115000</v>
      </c>
      <c r="J48" s="76">
        <v>112000</v>
      </c>
      <c r="K48" s="76">
        <v>109000</v>
      </c>
      <c r="L48" s="76">
        <v>107000</v>
      </c>
      <c r="M48" s="76">
        <f>+L48</f>
        <v>107000</v>
      </c>
      <c r="N48" s="76">
        <v>104000</v>
      </c>
      <c r="O48" s="76">
        <v>46000</v>
      </c>
      <c r="P48" s="76">
        <v>88000</v>
      </c>
      <c r="Q48" s="76">
        <v>91500</v>
      </c>
      <c r="R48" s="76">
        <v>91500</v>
      </c>
      <c r="S48" s="80">
        <f t="shared" ref="S48:S50" si="2">+O48/C48</f>
        <v>20</v>
      </c>
    </row>
    <row r="49" spans="1:19">
      <c r="A49" s="111"/>
      <c r="B49" s="114"/>
      <c r="C49" s="88"/>
      <c r="D49" s="90"/>
      <c r="E49" s="34"/>
      <c r="F49" s="88"/>
      <c r="G49" s="34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81"/>
    </row>
    <row r="50" spans="1:19" ht="15.75" thickBot="1">
      <c r="A50" s="111"/>
      <c r="B50" s="114"/>
      <c r="C50" s="88"/>
      <c r="D50" s="90"/>
      <c r="E50" s="45"/>
      <c r="F50" s="88"/>
      <c r="G50" s="45">
        <v>48875</v>
      </c>
      <c r="H50" s="79"/>
      <c r="I50" s="79"/>
      <c r="J50" s="77"/>
      <c r="K50" s="77"/>
      <c r="L50" s="77"/>
      <c r="M50" s="77"/>
      <c r="N50" s="77"/>
      <c r="O50" s="77"/>
      <c r="P50" s="77"/>
      <c r="Q50" s="77"/>
      <c r="R50" s="77"/>
      <c r="S50" s="82"/>
    </row>
    <row r="51" spans="1:19" ht="15.75" thickBot="1">
      <c r="A51" s="112"/>
      <c r="B51" s="41" t="s">
        <v>38</v>
      </c>
      <c r="C51" s="31">
        <v>200</v>
      </c>
      <c r="D51" s="32">
        <v>5000</v>
      </c>
      <c r="E51" s="32"/>
      <c r="F51" s="31">
        <v>28</v>
      </c>
      <c r="G51" s="32">
        <v>4760</v>
      </c>
      <c r="H51" s="33">
        <v>12880</v>
      </c>
      <c r="I51" s="33">
        <v>12560</v>
      </c>
      <c r="J51" s="33">
        <v>11880</v>
      </c>
      <c r="K51" s="33">
        <v>12000</v>
      </c>
      <c r="L51" s="33">
        <v>12000</v>
      </c>
      <c r="M51" s="33">
        <v>12000</v>
      </c>
      <c r="N51" s="33">
        <v>11320</v>
      </c>
      <c r="O51" s="33">
        <f>+P51</f>
        <v>10360</v>
      </c>
      <c r="P51" s="33">
        <v>10360</v>
      </c>
      <c r="Q51" s="33">
        <v>10480</v>
      </c>
      <c r="R51" s="33">
        <v>11000</v>
      </c>
      <c r="S51" s="142">
        <f>+O51/C51</f>
        <v>51.8</v>
      </c>
    </row>
    <row r="52" spans="1:19" ht="15.75" thickBot="1">
      <c r="J52" s="74"/>
      <c r="K52" s="19"/>
      <c r="L52" s="19"/>
      <c r="M52" s="19"/>
      <c r="N52" s="19"/>
      <c r="O52" s="19"/>
      <c r="P52" s="19"/>
      <c r="Q52" s="19"/>
      <c r="R52" s="19"/>
    </row>
  </sheetData>
  <mergeCells count="128">
    <mergeCell ref="A4:B4"/>
    <mergeCell ref="A5:B11"/>
    <mergeCell ref="C5:C11"/>
    <mergeCell ref="D5:D11"/>
    <mergeCell ref="F5:F11"/>
    <mergeCell ref="C45:C47"/>
    <mergeCell ref="D45:D47"/>
    <mergeCell ref="F45:F47"/>
    <mergeCell ref="N45:N47"/>
    <mergeCell ref="N48:N50"/>
    <mergeCell ref="S42:S44"/>
    <mergeCell ref="I42:I44"/>
    <mergeCell ref="H42:H44"/>
    <mergeCell ref="J22:J26"/>
    <mergeCell ref="J42:J44"/>
    <mergeCell ref="K5:K11"/>
    <mergeCell ref="K12:K14"/>
    <mergeCell ref="K15:K20"/>
    <mergeCell ref="K22:K26"/>
    <mergeCell ref="K42:K44"/>
    <mergeCell ref="L42:L44"/>
    <mergeCell ref="P5:P11"/>
    <mergeCell ref="P12:P14"/>
    <mergeCell ref="P15:P20"/>
    <mergeCell ref="P22:P26"/>
    <mergeCell ref="P42:P44"/>
    <mergeCell ref="P45:P47"/>
    <mergeCell ref="P48:P50"/>
    <mergeCell ref="G5:G11"/>
    <mergeCell ref="G12:G14"/>
    <mergeCell ref="G15:G20"/>
    <mergeCell ref="N5:N11"/>
    <mergeCell ref="N12:N14"/>
    <mergeCell ref="N15:N20"/>
    <mergeCell ref="N22:N26"/>
    <mergeCell ref="N42:N44"/>
    <mergeCell ref="A15:A21"/>
    <mergeCell ref="B15:B17"/>
    <mergeCell ref="C15:C20"/>
    <mergeCell ref="D15:D20"/>
    <mergeCell ref="E15:E21"/>
    <mergeCell ref="A12:B14"/>
    <mergeCell ref="C12:C14"/>
    <mergeCell ref="D12:D14"/>
    <mergeCell ref="F12:F14"/>
    <mergeCell ref="H12:H14"/>
    <mergeCell ref="B18:B20"/>
    <mergeCell ref="F18:F20"/>
    <mergeCell ref="F15:F17"/>
    <mergeCell ref="H5:H11"/>
    <mergeCell ref="M5:M11"/>
    <mergeCell ref="M12:M14"/>
    <mergeCell ref="M15:M20"/>
    <mergeCell ref="H15:H20"/>
    <mergeCell ref="J5:J11"/>
    <mergeCell ref="J12:J14"/>
    <mergeCell ref="J15:J20"/>
    <mergeCell ref="R42:R44"/>
    <mergeCell ref="M22:M26"/>
    <mergeCell ref="M42:M44"/>
    <mergeCell ref="L12:L14"/>
    <mergeCell ref="L15:L20"/>
    <mergeCell ref="L22:L26"/>
    <mergeCell ref="A22:A27"/>
    <mergeCell ref="B22:B26"/>
    <mergeCell ref="C22:C26"/>
    <mergeCell ref="D22:D26"/>
    <mergeCell ref="F22:F26"/>
    <mergeCell ref="A34:A39"/>
    <mergeCell ref="A40:B40"/>
    <mergeCell ref="A30:B30"/>
    <mergeCell ref="A33:B33"/>
    <mergeCell ref="A42:A51"/>
    <mergeCell ref="B42:B44"/>
    <mergeCell ref="C42:C44"/>
    <mergeCell ref="D42:D44"/>
    <mergeCell ref="F42:F44"/>
    <mergeCell ref="B48:B50"/>
    <mergeCell ref="B45:B47"/>
    <mergeCell ref="C48:C50"/>
    <mergeCell ref="D48:D50"/>
    <mergeCell ref="F48:F50"/>
    <mergeCell ref="H48:H50"/>
    <mergeCell ref="S48:S50"/>
    <mergeCell ref="I45:I47"/>
    <mergeCell ref="I48:I50"/>
    <mergeCell ref="S45:S47"/>
    <mergeCell ref="H45:H47"/>
    <mergeCell ref="J45:J47"/>
    <mergeCell ref="J48:J50"/>
    <mergeCell ref="M45:M47"/>
    <mergeCell ref="M48:M50"/>
    <mergeCell ref="K45:K47"/>
    <mergeCell ref="K48:K50"/>
    <mergeCell ref="L45:L47"/>
    <mergeCell ref="L48:L50"/>
    <mergeCell ref="R45:R47"/>
    <mergeCell ref="R48:R50"/>
    <mergeCell ref="Q45:Q47"/>
    <mergeCell ref="Q48:Q50"/>
    <mergeCell ref="C1:D1"/>
    <mergeCell ref="I5:I11"/>
    <mergeCell ref="I12:I14"/>
    <mergeCell ref="I15:I20"/>
    <mergeCell ref="I22:I26"/>
    <mergeCell ref="C3:S3"/>
    <mergeCell ref="H22:H26"/>
    <mergeCell ref="S22:S26"/>
    <mergeCell ref="S15:S20"/>
    <mergeCell ref="S12:S14"/>
    <mergeCell ref="S5:S11"/>
    <mergeCell ref="L5:L11"/>
    <mergeCell ref="R5:R11"/>
    <mergeCell ref="R12:R14"/>
    <mergeCell ref="R15:R20"/>
    <mergeCell ref="R22:R26"/>
    <mergeCell ref="Q5:Q11"/>
    <mergeCell ref="Q12:Q14"/>
    <mergeCell ref="Q15:Q20"/>
    <mergeCell ref="Q22:Q26"/>
    <mergeCell ref="Q42:Q44"/>
    <mergeCell ref="O5:O11"/>
    <mergeCell ref="O12:O14"/>
    <mergeCell ref="O15:O20"/>
    <mergeCell ref="O22:O26"/>
    <mergeCell ref="O42:O44"/>
    <mergeCell ref="O45:O47"/>
    <mergeCell ref="O48:O50"/>
  </mergeCells>
  <pageMargins left="0.70866141732283472" right="0.70866141732283472" top="0.17" bottom="0.16" header="0.31496062992125984" footer="0.31496062992125984"/>
  <pageSetup paperSize="9" scale="67" orientation="landscape" r:id="rId1"/>
  <rowBreaks count="1" manualBreakCount="1"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29-10-2021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r.oumaima</dc:creator>
  <cp:lastModifiedBy>A.AFOUKASS</cp:lastModifiedBy>
  <cp:lastPrinted>2021-11-01T11:15:01Z</cp:lastPrinted>
  <dcterms:created xsi:type="dcterms:W3CDTF">2021-09-03T15:56:35Z</dcterms:created>
  <dcterms:modified xsi:type="dcterms:W3CDTF">2021-11-03T13:14:00Z</dcterms:modified>
</cp:coreProperties>
</file>