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1255" windowHeight="9990"/>
  </bookViews>
  <sheets>
    <sheet name="01-01-2021" sheetId="6" r:id="rId1"/>
  </sheets>
  <calcPr calcId="125725"/>
</workbook>
</file>

<file path=xl/calcChain.xml><?xml version="1.0" encoding="utf-8"?>
<calcChain xmlns="http://schemas.openxmlformats.org/spreadsheetml/2006/main">
  <c r="O54" i="6"/>
  <c r="N11"/>
  <c r="N14"/>
  <c r="D54"/>
  <c r="H30"/>
  <c r="I6" l="1"/>
  <c r="J6" s="1"/>
  <c r="P27"/>
  <c r="D6"/>
  <c r="E6"/>
  <c r="O6"/>
  <c r="I51"/>
  <c r="J51" s="1"/>
  <c r="O57"/>
  <c r="T57" s="1"/>
  <c r="I57"/>
  <c r="J57" s="1"/>
  <c r="F57"/>
  <c r="G57" s="1"/>
  <c r="D57"/>
  <c r="G56"/>
  <c r="T54"/>
  <c r="I54"/>
  <c r="J54" s="1"/>
  <c r="F51"/>
  <c r="G51" s="1"/>
  <c r="D51"/>
  <c r="O48"/>
  <c r="T48" s="1"/>
  <c r="U48" s="1"/>
  <c r="I48"/>
  <c r="J48" s="1"/>
  <c r="G48"/>
  <c r="D48"/>
  <c r="O46"/>
  <c r="T46" s="1"/>
  <c r="U46" s="1"/>
  <c r="I46"/>
  <c r="J46" s="1"/>
  <c r="G46"/>
  <c r="E46"/>
  <c r="D46"/>
  <c r="I45"/>
  <c r="J45" s="1"/>
  <c r="O45" s="1"/>
  <c r="T45" s="1"/>
  <c r="U45" s="1"/>
  <c r="E45"/>
  <c r="D45"/>
  <c r="I44"/>
  <c r="J44" s="1"/>
  <c r="O44" s="1"/>
  <c r="T44" s="1"/>
  <c r="F44"/>
  <c r="G45" s="1"/>
  <c r="E44"/>
  <c r="D44"/>
  <c r="I43"/>
  <c r="J43" s="1"/>
  <c r="O43" s="1"/>
  <c r="T43" s="1"/>
  <c r="U43" s="1"/>
  <c r="G43"/>
  <c r="E43"/>
  <c r="D43"/>
  <c r="I42"/>
  <c r="J42" s="1"/>
  <c r="O42" s="1"/>
  <c r="T42" s="1"/>
  <c r="U42" s="1"/>
  <c r="G42"/>
  <c r="E42"/>
  <c r="D42"/>
  <c r="I41"/>
  <c r="J41" s="1"/>
  <c r="O41" s="1"/>
  <c r="T41" s="1"/>
  <c r="U41" s="1"/>
  <c r="G41"/>
  <c r="E41"/>
  <c r="D41"/>
  <c r="O40"/>
  <c r="T40" s="1"/>
  <c r="U40" s="1"/>
  <c r="I40"/>
  <c r="J40" s="1"/>
  <c r="P40" s="1"/>
  <c r="G40"/>
  <c r="E40"/>
  <c r="D40"/>
  <c r="O39"/>
  <c r="T39" s="1"/>
  <c r="U39" s="1"/>
  <c r="I39"/>
  <c r="J39" s="1"/>
  <c r="E39"/>
  <c r="D39"/>
  <c r="O38"/>
  <c r="T38" s="1"/>
  <c r="U38" s="1"/>
  <c r="I38"/>
  <c r="J38" s="1"/>
  <c r="P38" s="1"/>
  <c r="G38"/>
  <c r="E38"/>
  <c r="D38"/>
  <c r="O37"/>
  <c r="T37" s="1"/>
  <c r="U37" s="1"/>
  <c r="I37"/>
  <c r="J37" s="1"/>
  <c r="G37"/>
  <c r="E37"/>
  <c r="D37"/>
  <c r="O36"/>
  <c r="T36" s="1"/>
  <c r="U36" s="1"/>
  <c r="I36"/>
  <c r="J36" s="1"/>
  <c r="P36" s="1"/>
  <c r="G36"/>
  <c r="E36"/>
  <c r="D36"/>
  <c r="O35"/>
  <c r="T35" s="1"/>
  <c r="U35" s="1"/>
  <c r="I35"/>
  <c r="J35" s="1"/>
  <c r="G35"/>
  <c r="E35"/>
  <c r="D35"/>
  <c r="C34"/>
  <c r="E34" s="1"/>
  <c r="O33"/>
  <c r="T33" s="1"/>
  <c r="I33"/>
  <c r="J33" s="1"/>
  <c r="F33"/>
  <c r="G33" s="1"/>
  <c r="E33"/>
  <c r="D33"/>
  <c r="O32"/>
  <c r="T32" s="1"/>
  <c r="I32"/>
  <c r="J32" s="1"/>
  <c r="F32"/>
  <c r="G32" s="1"/>
  <c r="E32"/>
  <c r="D32"/>
  <c r="O31"/>
  <c r="T31" s="1"/>
  <c r="I31"/>
  <c r="J31" s="1"/>
  <c r="F31"/>
  <c r="G31" s="1"/>
  <c r="E31"/>
  <c r="D31"/>
  <c r="O28"/>
  <c r="I28"/>
  <c r="J28" s="1"/>
  <c r="G28"/>
  <c r="E28"/>
  <c r="D28"/>
  <c r="O23"/>
  <c r="I23"/>
  <c r="J23" s="1"/>
  <c r="P24" s="1"/>
  <c r="G23"/>
  <c r="E23"/>
  <c r="D23"/>
  <c r="P22"/>
  <c r="K22"/>
  <c r="O16" s="1"/>
  <c r="C22"/>
  <c r="P18"/>
  <c r="I16"/>
  <c r="J16" s="1"/>
  <c r="P17" s="1"/>
  <c r="H22"/>
  <c r="E16"/>
  <c r="D16"/>
  <c r="I13"/>
  <c r="J13" s="1"/>
  <c r="E13"/>
  <c r="D13"/>
  <c r="T6"/>
  <c r="U44" l="1"/>
  <c r="D22"/>
  <c r="U33"/>
  <c r="D34"/>
  <c r="G44"/>
  <c r="U31"/>
  <c r="I34"/>
  <c r="J34" s="1"/>
  <c r="P37"/>
  <c r="U6"/>
  <c r="N45"/>
  <c r="N43"/>
  <c r="N41"/>
  <c r="P39"/>
  <c r="N44"/>
  <c r="N42"/>
  <c r="I22"/>
  <c r="J22" s="1"/>
  <c r="G34"/>
  <c r="O34"/>
  <c r="T34" s="1"/>
  <c r="U34" s="1"/>
  <c r="U54"/>
  <c r="U32"/>
  <c r="U57"/>
  <c r="T16"/>
  <c r="U16" s="1"/>
  <c r="O51"/>
  <c r="T51" s="1"/>
  <c r="U51" s="1"/>
  <c r="P7"/>
  <c r="P13"/>
  <c r="T13"/>
  <c r="U13" s="1"/>
  <c r="O13"/>
  <c r="T28" l="1"/>
  <c r="U28" s="1"/>
  <c r="T23"/>
  <c r="U23" s="1"/>
</calcChain>
</file>

<file path=xl/comments1.xml><?xml version="1.0" encoding="utf-8"?>
<comments xmlns="http://schemas.openxmlformats.org/spreadsheetml/2006/main">
  <authors>
    <author>a.essamouq</author>
  </authors>
  <commentList>
    <comment ref="M5" authorId="0">
      <text>
        <r>
          <rPr>
            <b/>
            <sz val="9"/>
            <color indexed="81"/>
            <rFont val="Tahoma"/>
            <family val="2"/>
          </rPr>
          <t>a.essamouq:</t>
        </r>
        <r>
          <rPr>
            <sz val="9"/>
            <color indexed="81"/>
            <rFont val="Tahoma"/>
            <family val="2"/>
          </rPr>
          <t xml:space="preserve">
date arrivée des encours = date prévisionnelle entrée en stock</t>
        </r>
      </text>
    </comment>
  </commentList>
</comments>
</file>

<file path=xl/sharedStrings.xml><?xml version="1.0" encoding="utf-8"?>
<sst xmlns="http://schemas.openxmlformats.org/spreadsheetml/2006/main" count="63" uniqueCount="63">
  <si>
    <t xml:space="preserve">Stock min </t>
  </si>
  <si>
    <t>Planning arrivages</t>
  </si>
  <si>
    <t>Type matière</t>
  </si>
  <si>
    <t>Consommation moy/jour (kg)</t>
  </si>
  <si>
    <t>Consommation moy/mois (kgs)</t>
  </si>
  <si>
    <t>Délai de livraison (jour)</t>
  </si>
  <si>
    <t>Stock mini (kg)</t>
  </si>
  <si>
    <t>Stock Actuel</t>
  </si>
  <si>
    <t>Autonomie  Stock actuel+ en cours (jour)</t>
  </si>
  <si>
    <t>Date inventaire</t>
  </si>
  <si>
    <t>Date épuisement de stock actuel+en cours</t>
  </si>
  <si>
    <t>Date declanchement achats</t>
  </si>
  <si>
    <t>Cuivre</t>
  </si>
  <si>
    <t>Aluminium</t>
  </si>
  <si>
    <t>Almelec</t>
  </si>
  <si>
    <t>Grande section Above</t>
  </si>
  <si>
    <t>Petite section Bellow</t>
  </si>
  <si>
    <t>PE vierge</t>
  </si>
  <si>
    <t>LDPE 322N</t>
  </si>
  <si>
    <t>LLDPE 318B</t>
  </si>
  <si>
    <t>Résine PVC</t>
  </si>
  <si>
    <t xml:space="preserve">Craie </t>
  </si>
  <si>
    <t>DINP</t>
  </si>
  <si>
    <t>Stabilisant</t>
  </si>
  <si>
    <t>TABOREX</t>
  </si>
  <si>
    <t>CTM 301209</t>
  </si>
  <si>
    <t>Graisse</t>
  </si>
  <si>
    <t>FEUILLARD</t>
  </si>
  <si>
    <t>0,18MM*15</t>
  </si>
  <si>
    <t>0,18MM*20</t>
  </si>
  <si>
    <t>0,18MM*25</t>
  </si>
  <si>
    <t>0,18MM*30</t>
  </si>
  <si>
    <t>0,50MM*40</t>
  </si>
  <si>
    <t>Polyone</t>
  </si>
  <si>
    <t>Noir</t>
  </si>
  <si>
    <t>Bleu</t>
  </si>
  <si>
    <t>Marron</t>
  </si>
  <si>
    <t>Visico</t>
  </si>
  <si>
    <t>Catalyseur</t>
  </si>
  <si>
    <t xml:space="preserve">Clariant </t>
  </si>
  <si>
    <t>GAMUTEC</t>
  </si>
  <si>
    <t>NOIR DE CARBONE BPK1423</t>
  </si>
  <si>
    <t>SHULMAN</t>
  </si>
  <si>
    <t>0,50MM*50</t>
  </si>
  <si>
    <t>Consommation annuelle</t>
  </si>
  <si>
    <t>Autonomie stock actuel</t>
  </si>
  <si>
    <t>Date épuisement stock actuel</t>
  </si>
  <si>
    <t>Commande en cours</t>
  </si>
  <si>
    <t>Date arrivée des en cours</t>
  </si>
  <si>
    <t>Fournisseur</t>
  </si>
  <si>
    <t>Date épuisement des en cours</t>
  </si>
  <si>
    <t>Rupture</t>
  </si>
  <si>
    <t>,</t>
  </si>
  <si>
    <t>Actions</t>
  </si>
  <si>
    <t>Aluminium + Almelec</t>
  </si>
  <si>
    <t>SILANE</t>
  </si>
  <si>
    <t>CROSLINK PE</t>
  </si>
  <si>
    <t>ALTUNDAS</t>
  </si>
  <si>
    <t>AURUBIS</t>
  </si>
  <si>
    <t>MIDAL</t>
  </si>
  <si>
    <t>TOTAL LDPE</t>
  </si>
  <si>
    <t>TRICON</t>
  </si>
  <si>
    <t>INTER GLOBAL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</si>
</sst>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Bauhaus 93"/>
      <family val="5"/>
    </font>
    <font>
      <sz val="1"/>
      <color theme="1"/>
      <name val="Arial"/>
      <family val="2"/>
    </font>
    <font>
      <sz val="1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8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0" xfId="0" applyBorder="1" applyAlignment="1"/>
    <xf numFmtId="3" fontId="0" fillId="0" borderId="0" xfId="0" applyNumberForma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3" fontId="4" fillId="3" borderId="4" xfId="0" applyNumberFormat="1" applyFont="1" applyFill="1" applyBorder="1"/>
    <xf numFmtId="3" fontId="4" fillId="0" borderId="4" xfId="0" applyNumberFormat="1" applyFont="1" applyBorder="1"/>
    <xf numFmtId="3" fontId="4" fillId="3" borderId="6" xfId="0" applyNumberFormat="1" applyFont="1" applyFill="1" applyBorder="1"/>
    <xf numFmtId="14" fontId="4" fillId="2" borderId="7" xfId="0" applyNumberFormat="1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right"/>
    </xf>
    <xf numFmtId="3" fontId="4" fillId="3" borderId="8" xfId="0" applyNumberFormat="1" applyFont="1" applyFill="1" applyBorder="1"/>
    <xf numFmtId="3" fontId="4" fillId="0" borderId="8" xfId="0" applyNumberFormat="1" applyFont="1" applyBorder="1"/>
    <xf numFmtId="3" fontId="4" fillId="3" borderId="10" xfId="0" applyNumberFormat="1" applyFont="1" applyFill="1" applyBorder="1"/>
    <xf numFmtId="14" fontId="4" fillId="5" borderId="7" xfId="0" applyNumberFormat="1" applyFont="1" applyFill="1" applyBorder="1" applyAlignment="1">
      <alignment horizontal="center"/>
    </xf>
    <xf numFmtId="3" fontId="4" fillId="0" borderId="15" xfId="0" applyNumberFormat="1" applyFont="1" applyBorder="1" applyAlignment="1">
      <alignment horizontal="right"/>
    </xf>
    <xf numFmtId="3" fontId="4" fillId="3" borderId="7" xfId="0" applyNumberFormat="1" applyFont="1" applyFill="1" applyBorder="1"/>
    <xf numFmtId="3" fontId="4" fillId="3" borderId="16" xfId="0" applyNumberFormat="1" applyFont="1" applyFill="1" applyBorder="1"/>
    <xf numFmtId="14" fontId="0" fillId="2" borderId="0" xfId="0" applyNumberFormat="1" applyFill="1"/>
    <xf numFmtId="0" fontId="0" fillId="6" borderId="0" xfId="0" applyFill="1"/>
    <xf numFmtId="3" fontId="4" fillId="0" borderId="19" xfId="0" applyNumberFormat="1" applyFont="1" applyBorder="1" applyAlignment="1">
      <alignment horizontal="right"/>
    </xf>
    <xf numFmtId="3" fontId="4" fillId="3" borderId="18" xfId="0" applyNumberFormat="1" applyFont="1" applyFill="1" applyBorder="1"/>
    <xf numFmtId="3" fontId="4" fillId="0" borderId="18" xfId="0" applyNumberFormat="1" applyFont="1" applyBorder="1"/>
    <xf numFmtId="3" fontId="4" fillId="3" borderId="20" xfId="0" applyNumberFormat="1" applyFont="1" applyFill="1" applyBorder="1"/>
    <xf numFmtId="14" fontId="0" fillId="0" borderId="0" xfId="0" applyNumberFormat="1"/>
    <xf numFmtId="3" fontId="4" fillId="0" borderId="7" xfId="0" applyNumberFormat="1" applyFont="1" applyBorder="1"/>
    <xf numFmtId="0" fontId="3" fillId="2" borderId="21" xfId="1" applyFont="1" applyFill="1" applyBorder="1" applyAlignment="1">
      <alignment horizontal="left" vertical="center"/>
    </xf>
    <xf numFmtId="0" fontId="3" fillId="0" borderId="21" xfId="0" applyFont="1" applyBorder="1"/>
    <xf numFmtId="3" fontId="4" fillId="3" borderId="22" xfId="0" applyNumberFormat="1" applyFont="1" applyFill="1" applyBorder="1"/>
    <xf numFmtId="14" fontId="4" fillId="5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0" fontId="0" fillId="0" borderId="0" xfId="0" applyFill="1"/>
    <xf numFmtId="3" fontId="3" fillId="0" borderId="9" xfId="0" applyNumberFormat="1" applyFont="1" applyBorder="1" applyAlignment="1">
      <alignment horizontal="right"/>
    </xf>
    <xf numFmtId="3" fontId="4" fillId="3" borderId="15" xfId="0" applyNumberFormat="1" applyFont="1" applyFill="1" applyBorder="1"/>
    <xf numFmtId="3" fontId="4" fillId="3" borderId="9" xfId="0" applyNumberFormat="1" applyFont="1" applyFill="1" applyBorder="1"/>
    <xf numFmtId="3" fontId="4" fillId="3" borderId="19" xfId="0" applyNumberFormat="1" applyFont="1" applyFill="1" applyBorder="1"/>
    <xf numFmtId="3" fontId="4" fillId="3" borderId="5" xfId="0" applyNumberFormat="1" applyFont="1" applyFill="1" applyBorder="1"/>
    <xf numFmtId="14" fontId="4" fillId="0" borderId="8" xfId="0" applyNumberFormat="1" applyFont="1" applyBorder="1"/>
    <xf numFmtId="14" fontId="4" fillId="0" borderId="18" xfId="0" applyNumberFormat="1" applyFont="1" applyBorder="1"/>
    <xf numFmtId="14" fontId="4" fillId="0" borderId="4" xfId="0" applyNumberFormat="1" applyFont="1" applyBorder="1"/>
    <xf numFmtId="3" fontId="4" fillId="0" borderId="15" xfId="0" applyNumberFormat="1" applyFont="1" applyBorder="1" applyAlignment="1">
      <alignment horizontal="right" vertical="center"/>
    </xf>
    <xf numFmtId="3" fontId="4" fillId="0" borderId="34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vertical="center"/>
    </xf>
    <xf numFmtId="14" fontId="4" fillId="0" borderId="23" xfId="0" applyNumberFormat="1" applyFont="1" applyBorder="1" applyAlignment="1">
      <alignment vertical="center"/>
    </xf>
    <xf numFmtId="3" fontId="4" fillId="0" borderId="11" xfId="0" applyNumberFormat="1" applyFont="1" applyBorder="1"/>
    <xf numFmtId="3" fontId="4" fillId="0" borderId="27" xfId="0" applyNumberFormat="1" applyFont="1" applyBorder="1" applyAlignment="1">
      <alignment horizontal="right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2" borderId="14" xfId="1" applyFont="1" applyFill="1" applyBorder="1" applyAlignment="1">
      <alignment horizontal="left" vertical="center"/>
    </xf>
    <xf numFmtId="3" fontId="3" fillId="0" borderId="15" xfId="0" applyNumberFormat="1" applyFont="1" applyBorder="1" applyAlignment="1">
      <alignment horizontal="right"/>
    </xf>
    <xf numFmtId="14" fontId="4" fillId="0" borderId="7" xfId="0" applyNumberFormat="1" applyFont="1" applyBorder="1"/>
    <xf numFmtId="3" fontId="4" fillId="3" borderId="24" xfId="0" applyNumberFormat="1" applyFont="1" applyFill="1" applyBorder="1"/>
    <xf numFmtId="0" fontId="3" fillId="2" borderId="17" xfId="1" applyFont="1" applyFill="1" applyBorder="1" applyAlignment="1">
      <alignment horizontal="left" vertical="center"/>
    </xf>
    <xf numFmtId="3" fontId="3" fillId="0" borderId="19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3" borderId="1" xfId="0" applyNumberFormat="1" applyFont="1" applyFill="1" applyBorder="1"/>
    <xf numFmtId="14" fontId="4" fillId="0" borderId="1" xfId="0" applyNumberFormat="1" applyFont="1" applyBorder="1"/>
    <xf numFmtId="3" fontId="4" fillId="3" borderId="30" xfId="0" applyNumberFormat="1" applyFont="1" applyFill="1" applyBorder="1"/>
    <xf numFmtId="3" fontId="4" fillId="0" borderId="27" xfId="0" applyNumberFormat="1" applyFont="1" applyBorder="1" applyAlignment="1">
      <alignment horizontal="right"/>
    </xf>
    <xf numFmtId="3" fontId="4" fillId="3" borderId="27" xfId="0" applyNumberFormat="1" applyFont="1" applyFill="1" applyBorder="1"/>
    <xf numFmtId="3" fontId="4" fillId="3" borderId="11" xfId="0" applyNumberFormat="1" applyFont="1" applyFill="1" applyBorder="1"/>
    <xf numFmtId="14" fontId="4" fillId="0" borderId="11" xfId="0" applyNumberFormat="1" applyFont="1" applyBorder="1"/>
    <xf numFmtId="3" fontId="4" fillId="3" borderId="0" xfId="0" applyNumberFormat="1" applyFont="1" applyFill="1" applyBorder="1"/>
    <xf numFmtId="0" fontId="3" fillId="0" borderId="26" xfId="0" applyFont="1" applyBorder="1" applyAlignment="1">
      <alignment vertical="center"/>
    </xf>
    <xf numFmtId="0" fontId="3" fillId="2" borderId="14" xfId="1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14" fontId="4" fillId="0" borderId="38" xfId="0" applyNumberFormat="1" applyFont="1" applyBorder="1" applyAlignment="1">
      <alignment vertical="center"/>
    </xf>
    <xf numFmtId="14" fontId="4" fillId="0" borderId="39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horizontal="right"/>
    </xf>
    <xf numFmtId="14" fontId="4" fillId="0" borderId="3" xfId="0" applyNumberFormat="1" applyFont="1" applyBorder="1"/>
    <xf numFmtId="1" fontId="6" fillId="0" borderId="38" xfId="0" applyNumberFormat="1" applyFont="1" applyBorder="1" applyAlignment="1">
      <alignment vertical="center"/>
    </xf>
    <xf numFmtId="1" fontId="6" fillId="0" borderId="39" xfId="0" applyNumberFormat="1" applyFont="1" applyBorder="1" applyAlignment="1">
      <alignment vertical="center"/>
    </xf>
    <xf numFmtId="1" fontId="6" fillId="0" borderId="23" xfId="0" applyNumberFormat="1" applyFont="1" applyBorder="1" applyAlignment="1">
      <alignment vertical="center"/>
    </xf>
    <xf numFmtId="1" fontId="6" fillId="0" borderId="7" xfId="0" applyNumberFormat="1" applyFont="1" applyBorder="1"/>
    <xf numFmtId="1" fontId="6" fillId="0" borderId="18" xfId="0" applyNumberFormat="1" applyFont="1" applyBorder="1"/>
    <xf numFmtId="1" fontId="6" fillId="0" borderId="11" xfId="0" applyNumberFormat="1" applyFont="1" applyBorder="1"/>
    <xf numFmtId="1" fontId="6" fillId="0" borderId="1" xfId="0" applyNumberFormat="1" applyFont="1" applyBorder="1"/>
    <xf numFmtId="1" fontId="6" fillId="0" borderId="8" xfId="0" applyNumberFormat="1" applyFont="1" applyBorder="1"/>
    <xf numFmtId="1" fontId="6" fillId="0" borderId="4" xfId="0" applyNumberFormat="1" applyFont="1" applyBorder="1"/>
    <xf numFmtId="0" fontId="3" fillId="0" borderId="2" xfId="0" applyFont="1" applyBorder="1" applyAlignment="1"/>
    <xf numFmtId="14" fontId="4" fillId="0" borderId="29" xfId="0" applyNumberFormat="1" applyFont="1" applyBorder="1"/>
    <xf numFmtId="14" fontId="4" fillId="0" borderId="40" xfId="0" applyNumberFormat="1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14" fontId="4" fillId="0" borderId="4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14" fontId="4" fillId="0" borderId="11" xfId="0" applyNumberFormat="1" applyFont="1" applyBorder="1" applyAlignment="1">
      <alignment vertical="center"/>
    </xf>
    <xf numFmtId="3" fontId="4" fillId="2" borderId="11" xfId="0" applyNumberFormat="1" applyFont="1" applyFill="1" applyBorder="1"/>
    <xf numFmtId="3" fontId="4" fillId="2" borderId="27" xfId="0" applyNumberFormat="1" applyFont="1" applyFill="1" applyBorder="1" applyAlignment="1">
      <alignment horizontal="right"/>
    </xf>
    <xf numFmtId="3" fontId="4" fillId="0" borderId="44" xfId="0" applyNumberFormat="1" applyFont="1" applyBorder="1" applyAlignment="1">
      <alignment horizontal="right"/>
    </xf>
    <xf numFmtId="3" fontId="4" fillId="3" borderId="29" xfId="0" applyNumberFormat="1" applyFont="1" applyFill="1" applyBorder="1"/>
    <xf numFmtId="3" fontId="4" fillId="0" borderId="45" xfId="0" applyNumberFormat="1" applyFont="1" applyBorder="1" applyAlignment="1">
      <alignment horizontal="right"/>
    </xf>
    <xf numFmtId="14" fontId="4" fillId="0" borderId="1" xfId="0" applyNumberFormat="1" applyFont="1" applyBorder="1" applyAlignment="1">
      <alignment vertical="center"/>
    </xf>
    <xf numFmtId="3" fontId="4" fillId="2" borderId="38" xfId="0" applyNumberFormat="1" applyFont="1" applyFill="1" applyBorder="1"/>
    <xf numFmtId="14" fontId="4" fillId="0" borderId="38" xfId="0" applyNumberFormat="1" applyFont="1" applyBorder="1"/>
    <xf numFmtId="3" fontId="4" fillId="2" borderId="39" xfId="0" applyNumberFormat="1" applyFont="1" applyFill="1" applyBorder="1"/>
    <xf numFmtId="14" fontId="4" fillId="0" borderId="39" xfId="0" applyNumberFormat="1" applyFont="1" applyBorder="1"/>
    <xf numFmtId="1" fontId="7" fillId="0" borderId="38" xfId="0" applyNumberFormat="1" applyFont="1" applyBorder="1" applyAlignment="1">
      <alignment vertical="center"/>
    </xf>
    <xf numFmtId="1" fontId="7" fillId="0" borderId="7" xfId="0" applyNumberFormat="1" applyFont="1" applyBorder="1"/>
    <xf numFmtId="1" fontId="7" fillId="0" borderId="18" xfId="0" applyNumberFormat="1" applyFont="1" applyBorder="1"/>
    <xf numFmtId="3" fontId="0" fillId="2" borderId="0" xfId="0" applyNumberFormat="1" applyFill="1"/>
    <xf numFmtId="3" fontId="4" fillId="2" borderId="40" xfId="0" applyNumberFormat="1" applyFont="1" applyFill="1" applyBorder="1"/>
    <xf numFmtId="14" fontId="4" fillId="0" borderId="40" xfId="0" applyNumberFormat="1" applyFont="1" applyBorder="1"/>
    <xf numFmtId="1" fontId="7" fillId="0" borderId="3" xfId="0" applyNumberFormat="1" applyFont="1" applyBorder="1" applyAlignment="1">
      <alignment vertical="center"/>
    </xf>
    <xf numFmtId="3" fontId="4" fillId="2" borderId="5" xfId="0" applyNumberFormat="1" applyFont="1" applyFill="1" applyBorder="1" applyAlignment="1">
      <alignment horizontal="right"/>
    </xf>
    <xf numFmtId="14" fontId="4" fillId="2" borderId="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vertical="center"/>
    </xf>
    <xf numFmtId="3" fontId="4" fillId="6" borderId="1" xfId="0" applyNumberFormat="1" applyFont="1" applyFill="1" applyBorder="1"/>
    <xf numFmtId="14" fontId="4" fillId="6" borderId="1" xfId="0" applyNumberFormat="1" applyFont="1" applyFill="1" applyBorder="1"/>
    <xf numFmtId="1" fontId="7" fillId="6" borderId="1" xfId="0" applyNumberFormat="1" applyFont="1" applyFill="1" applyBorder="1" applyAlignment="1">
      <alignment vertical="center"/>
    </xf>
    <xf numFmtId="0" fontId="0" fillId="6" borderId="29" xfId="0" applyFill="1" applyBorder="1"/>
    <xf numFmtId="2" fontId="4" fillId="0" borderId="11" xfId="0" applyNumberFormat="1" applyFont="1" applyBorder="1"/>
    <xf numFmtId="14" fontId="4" fillId="0" borderId="39" xfId="0" applyNumberFormat="1" applyFont="1" applyFill="1" applyBorder="1"/>
    <xf numFmtId="14" fontId="4" fillId="2" borderId="3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vertical="center"/>
    </xf>
    <xf numFmtId="3" fontId="4" fillId="9" borderId="18" xfId="0" applyNumberFormat="1" applyFont="1" applyFill="1" applyBorder="1" applyAlignment="1">
      <alignment horizontal="right"/>
    </xf>
    <xf numFmtId="3" fontId="4" fillId="9" borderId="11" xfId="0" applyNumberFormat="1" applyFont="1" applyFill="1" applyBorder="1" applyAlignment="1">
      <alignment horizontal="right"/>
    </xf>
    <xf numFmtId="3" fontId="4" fillId="9" borderId="7" xfId="0" applyNumberFormat="1" applyFont="1" applyFill="1" applyBorder="1" applyAlignment="1">
      <alignment horizontal="right"/>
    </xf>
    <xf numFmtId="3" fontId="4" fillId="9" borderId="1" xfId="0" applyNumberFormat="1" applyFont="1" applyFill="1" applyBorder="1" applyAlignment="1">
      <alignment horizontal="right"/>
    </xf>
    <xf numFmtId="3" fontId="4" fillId="9" borderId="8" xfId="0" applyNumberFormat="1" applyFont="1" applyFill="1" applyBorder="1" applyAlignment="1">
      <alignment horizontal="right"/>
    </xf>
    <xf numFmtId="3" fontId="4" fillId="9" borderId="4" xfId="0" applyNumberFormat="1" applyFont="1" applyFill="1" applyBorder="1" applyAlignment="1">
      <alignment horizontal="right"/>
    </xf>
    <xf numFmtId="3" fontId="4" fillId="9" borderId="18" xfId="0" applyNumberFormat="1" applyFont="1" applyFill="1" applyBorder="1"/>
    <xf numFmtId="3" fontId="4" fillId="9" borderId="11" xfId="0" applyNumberFormat="1" applyFont="1" applyFill="1" applyBorder="1"/>
    <xf numFmtId="3" fontId="4" fillId="9" borderId="7" xfId="0" applyNumberFormat="1" applyFont="1" applyFill="1" applyBorder="1"/>
    <xf numFmtId="3" fontId="4" fillId="9" borderId="1" xfId="0" applyNumberFormat="1" applyFont="1" applyFill="1" applyBorder="1"/>
    <xf numFmtId="3" fontId="4" fillId="9" borderId="8" xfId="0" applyNumberFormat="1" applyFont="1" applyFill="1" applyBorder="1"/>
    <xf numFmtId="3" fontId="4" fillId="9" borderId="4" xfId="0" applyNumberFormat="1" applyFont="1" applyFill="1" applyBorder="1"/>
    <xf numFmtId="3" fontId="4" fillId="9" borderId="1" xfId="0" applyNumberFormat="1" applyFont="1" applyFill="1" applyBorder="1" applyAlignment="1">
      <alignment horizontal="right" vertical="center"/>
    </xf>
    <xf numFmtId="14" fontId="4" fillId="0" borderId="40" xfId="0" applyNumberFormat="1" applyFont="1" applyFill="1" applyBorder="1"/>
    <xf numFmtId="0" fontId="0" fillId="0" borderId="0" xfId="0" applyFill="1" applyBorder="1" applyAlignment="1"/>
    <xf numFmtId="1" fontId="4" fillId="0" borderId="11" xfId="0" applyNumberFormat="1" applyFont="1" applyFill="1" applyBorder="1" applyAlignment="1">
      <alignment horizontal="center"/>
    </xf>
    <xf numFmtId="0" fontId="0" fillId="0" borderId="0" xfId="0" applyFill="1" applyBorder="1"/>
    <xf numFmtId="3" fontId="4" fillId="0" borderId="23" xfId="0" applyNumberFormat="1" applyFont="1" applyBorder="1"/>
    <xf numFmtId="14" fontId="4" fillId="0" borderId="23" xfId="0" applyNumberFormat="1" applyFont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3" fontId="4" fillId="0" borderId="41" xfId="0" applyNumberFormat="1" applyFont="1" applyBorder="1"/>
    <xf numFmtId="3" fontId="4" fillId="0" borderId="48" xfId="0" applyNumberFormat="1" applyFont="1" applyBorder="1"/>
    <xf numFmtId="14" fontId="4" fillId="0" borderId="41" xfId="0" applyNumberFormat="1" applyFont="1" applyBorder="1"/>
    <xf numFmtId="1" fontId="7" fillId="0" borderId="39" xfId="0" applyNumberFormat="1" applyFont="1" applyBorder="1" applyAlignment="1">
      <alignment vertical="center"/>
    </xf>
    <xf numFmtId="1" fontId="7" fillId="0" borderId="41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14" fontId="4" fillId="2" borderId="11" xfId="0" applyNumberFormat="1" applyFont="1" applyFill="1" applyBorder="1" applyAlignment="1">
      <alignment vertical="center"/>
    </xf>
    <xf numFmtId="14" fontId="4" fillId="2" borderId="23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14" fontId="4" fillId="0" borderId="3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4" fontId="4" fillId="0" borderId="11" xfId="0" applyNumberFormat="1" applyFont="1" applyFill="1" applyBorder="1" applyAlignment="1">
      <alignment vertical="center"/>
    </xf>
    <xf numFmtId="3" fontId="4" fillId="2" borderId="49" xfId="0" applyNumberFormat="1" applyFont="1" applyFill="1" applyBorder="1" applyAlignment="1">
      <alignment vertical="center"/>
    </xf>
    <xf numFmtId="3" fontId="4" fillId="0" borderId="50" xfId="0" applyNumberFormat="1" applyFont="1" applyBorder="1" applyAlignment="1">
      <alignment vertical="center"/>
    </xf>
    <xf numFmtId="3" fontId="4" fillId="0" borderId="2" xfId="0" applyNumberFormat="1" applyFont="1" applyBorder="1"/>
    <xf numFmtId="14" fontId="4" fillId="0" borderId="51" xfId="0" applyNumberFormat="1" applyFont="1" applyBorder="1" applyAlignment="1">
      <alignment vertical="center"/>
    </xf>
    <xf numFmtId="2" fontId="4" fillId="0" borderId="52" xfId="0" applyNumberFormat="1" applyFont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14" fontId="4" fillId="0" borderId="53" xfId="0" applyNumberFormat="1" applyFont="1" applyBorder="1" applyAlignment="1">
      <alignment vertical="center"/>
    </xf>
    <xf numFmtId="0" fontId="0" fillId="7" borderId="27" xfId="0" applyFont="1" applyFill="1" applyBorder="1"/>
    <xf numFmtId="1" fontId="4" fillId="0" borderId="13" xfId="0" applyNumberFormat="1" applyFont="1" applyFill="1" applyBorder="1" applyAlignment="1">
      <alignment horizontal="center"/>
    </xf>
    <xf numFmtId="0" fontId="3" fillId="0" borderId="55" xfId="0" applyFont="1" applyBorder="1"/>
    <xf numFmtId="3" fontId="4" fillId="9" borderId="56" xfId="0" applyNumberFormat="1" applyFont="1" applyFill="1" applyBorder="1" applyAlignment="1">
      <alignment horizontal="right"/>
    </xf>
    <xf numFmtId="3" fontId="4" fillId="9" borderId="56" xfId="0" applyNumberFormat="1" applyFont="1" applyFill="1" applyBorder="1"/>
    <xf numFmtId="3" fontId="4" fillId="3" borderId="45" xfId="0" applyNumberFormat="1" applyFont="1" applyFill="1" applyBorder="1"/>
    <xf numFmtId="3" fontId="4" fillId="3" borderId="56" xfId="0" applyNumberFormat="1" applyFont="1" applyFill="1" applyBorder="1"/>
    <xf numFmtId="14" fontId="4" fillId="0" borderId="56" xfId="0" applyNumberFormat="1" applyFont="1" applyBorder="1"/>
    <xf numFmtId="3" fontId="4" fillId="0" borderId="56" xfId="0" applyNumberFormat="1" applyFont="1" applyBorder="1"/>
    <xf numFmtId="14" fontId="4" fillId="0" borderId="3" xfId="0" applyNumberFormat="1" applyFont="1" applyBorder="1" applyAlignment="1">
      <alignment vertical="center"/>
    </xf>
    <xf numFmtId="3" fontId="4" fillId="3" borderId="57" xfId="0" applyNumberFormat="1" applyFont="1" applyFill="1" applyBorder="1"/>
    <xf numFmtId="1" fontId="6" fillId="0" borderId="56" xfId="0" applyNumberFormat="1" applyFont="1" applyBorder="1"/>
    <xf numFmtId="0" fontId="3" fillId="0" borderId="54" xfId="0" applyFont="1" applyBorder="1"/>
    <xf numFmtId="3" fontId="4" fillId="9" borderId="54" xfId="0" applyNumberFormat="1" applyFont="1" applyFill="1" applyBorder="1" applyAlignment="1">
      <alignment horizontal="right"/>
    </xf>
    <xf numFmtId="3" fontId="4" fillId="0" borderId="54" xfId="0" applyNumberFormat="1" applyFont="1" applyBorder="1" applyAlignment="1">
      <alignment horizontal="right"/>
    </xf>
    <xf numFmtId="3" fontId="4" fillId="9" borderId="54" xfId="0" applyNumberFormat="1" applyFont="1" applyFill="1" applyBorder="1"/>
    <xf numFmtId="3" fontId="4" fillId="3" borderId="54" xfId="0" applyNumberFormat="1" applyFont="1" applyFill="1" applyBorder="1"/>
    <xf numFmtId="14" fontId="4" fillId="0" borderId="54" xfId="0" applyNumberFormat="1" applyFont="1" applyBorder="1"/>
    <xf numFmtId="3" fontId="4" fillId="0" borderId="54" xfId="0" applyNumberFormat="1" applyFont="1" applyBorder="1"/>
    <xf numFmtId="14" fontId="4" fillId="0" borderId="54" xfId="0" applyNumberFormat="1" applyFont="1" applyBorder="1" applyAlignment="1">
      <alignment vertical="center"/>
    </xf>
    <xf numFmtId="1" fontId="6" fillId="0" borderId="54" xfId="0" applyNumberFormat="1" applyFont="1" applyBorder="1"/>
    <xf numFmtId="3" fontId="10" fillId="0" borderId="38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3" fontId="10" fillId="0" borderId="11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0" xfId="0" applyBorder="1"/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" fontId="4" fillId="9" borderId="3" xfId="0" applyNumberFormat="1" applyFont="1" applyFill="1" applyBorder="1" applyAlignment="1">
      <alignment horizontal="right" vertical="center"/>
    </xf>
    <xf numFmtId="3" fontId="4" fillId="9" borderId="11" xfId="0" applyNumberFormat="1" applyFont="1" applyFill="1" applyBorder="1" applyAlignment="1">
      <alignment horizontal="right" vertical="center"/>
    </xf>
    <xf numFmtId="3" fontId="4" fillId="9" borderId="2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23" xfId="0" applyNumberFormat="1" applyFont="1" applyFill="1" applyBorder="1" applyAlignment="1">
      <alignment horizontal="right" vertical="center"/>
    </xf>
    <xf numFmtId="14" fontId="4" fillId="0" borderId="3" xfId="0" applyNumberFormat="1" applyFont="1" applyBorder="1" applyAlignment="1">
      <alignment horizontal="right" vertical="center"/>
    </xf>
    <xf numFmtId="14" fontId="4" fillId="0" borderId="11" xfId="0" applyNumberFormat="1" applyFont="1" applyBorder="1" applyAlignment="1">
      <alignment horizontal="right" vertical="center"/>
    </xf>
    <xf numFmtId="14" fontId="4" fillId="0" borderId="23" xfId="0" applyNumberFormat="1" applyFont="1" applyBorder="1" applyAlignment="1">
      <alignment horizontal="right" vertical="center"/>
    </xf>
    <xf numFmtId="14" fontId="2" fillId="5" borderId="31" xfId="0" applyNumberFormat="1" applyFont="1" applyFill="1" applyBorder="1" applyAlignment="1">
      <alignment horizontal="center" vertical="center"/>
    </xf>
    <xf numFmtId="14" fontId="2" fillId="5" borderId="0" xfId="0" applyNumberFormat="1" applyFont="1" applyFill="1" applyBorder="1" applyAlignment="1">
      <alignment horizontal="center" vertical="center"/>
    </xf>
    <xf numFmtId="14" fontId="2" fillId="5" borderId="3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3" xfId="0" applyNumberFormat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14" fontId="4" fillId="4" borderId="23" xfId="0" applyNumberFormat="1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5" borderId="11" xfId="0" applyNumberFormat="1" applyFont="1" applyFill="1" applyBorder="1" applyAlignment="1">
      <alignment horizontal="center" vertical="center"/>
    </xf>
    <xf numFmtId="14" fontId="4" fillId="5" borderId="2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/>
    <xf numFmtId="0" fontId="0" fillId="0" borderId="23" xfId="0" applyBorder="1"/>
    <xf numFmtId="3" fontId="4" fillId="0" borderId="11" xfId="0" applyNumberFormat="1" applyFont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4" fillId="3" borderId="35" xfId="0" applyNumberFormat="1" applyFont="1" applyFill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7" borderId="28" xfId="0" applyFont="1" applyFill="1" applyBorder="1"/>
    <xf numFmtId="0" fontId="3" fillId="2" borderId="42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3" fontId="4" fillId="9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14" fontId="4" fillId="2" borderId="3" xfId="0" applyNumberFormat="1" applyFont="1" applyFill="1" applyBorder="1" applyAlignment="1">
      <alignment horizontal="right" vertical="center"/>
    </xf>
    <xf numFmtId="14" fontId="4" fillId="2" borderId="11" xfId="0" applyNumberFormat="1" applyFont="1" applyFill="1" applyBorder="1" applyAlignment="1">
      <alignment horizontal="right" vertical="center"/>
    </xf>
    <xf numFmtId="14" fontId="4" fillId="2" borderId="4" xfId="0" applyNumberFormat="1" applyFont="1" applyFill="1" applyBorder="1" applyAlignment="1">
      <alignment horizontal="right" vertical="center"/>
    </xf>
    <xf numFmtId="0" fontId="3" fillId="2" borderId="26" xfId="1" applyFont="1" applyFill="1" applyBorder="1" applyAlignment="1">
      <alignment horizontal="center" vertical="center"/>
    </xf>
    <xf numFmtId="0" fontId="0" fillId="7" borderId="25" xfId="0" applyFont="1" applyFill="1" applyBorder="1"/>
    <xf numFmtId="0" fontId="0" fillId="0" borderId="25" xfId="0" applyFont="1" applyBorder="1"/>
    <xf numFmtId="0" fontId="0" fillId="0" borderId="28" xfId="0" applyFont="1" applyBorder="1"/>
    <xf numFmtId="0" fontId="3" fillId="2" borderId="25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24" xfId="0" applyFont="1" applyBorder="1"/>
    <xf numFmtId="0" fontId="3" fillId="0" borderId="19" xfId="0" applyFont="1" applyBorder="1" applyAlignment="1">
      <alignment horizontal="center"/>
    </xf>
    <xf numFmtId="0" fontId="0" fillId="0" borderId="20" xfId="0" applyFont="1" applyBorder="1"/>
    <xf numFmtId="0" fontId="3" fillId="0" borderId="2" xfId="0" applyFont="1" applyBorder="1" applyAlignment="1">
      <alignment horizontal="center"/>
    </xf>
    <xf numFmtId="0" fontId="0" fillId="0" borderId="30" xfId="0" applyFont="1" applyBorder="1"/>
    <xf numFmtId="0" fontId="3" fillId="0" borderId="27" xfId="0" applyFont="1" applyBorder="1" applyAlignment="1">
      <alignment horizontal="center"/>
    </xf>
    <xf numFmtId="0" fontId="0" fillId="0" borderId="13" xfId="0" applyFont="1" applyBorder="1"/>
    <xf numFmtId="0" fontId="3" fillId="0" borderId="30" xfId="0" applyFont="1" applyBorder="1" applyAlignment="1">
      <alignment horizontal="center"/>
    </xf>
    <xf numFmtId="14" fontId="2" fillId="8" borderId="3" xfId="0" applyNumberFormat="1" applyFont="1" applyFill="1" applyBorder="1" applyAlignment="1">
      <alignment horizontal="center" vertical="center"/>
    </xf>
    <xf numFmtId="14" fontId="2" fillId="8" borderId="1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23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ill>
        <patternFill>
          <fgColor rgb="FF00B050"/>
          <bgColor rgb="FF00B05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3"/>
  <sheetViews>
    <sheetView tabSelected="1" topLeftCell="A2" zoomScale="85" zoomScaleNormal="85" workbookViewId="0">
      <selection activeCell="M11" sqref="M11"/>
    </sheetView>
  </sheetViews>
  <sheetFormatPr baseColWidth="10" defaultRowHeight="15"/>
  <cols>
    <col min="1" max="1" width="12.28515625" customWidth="1"/>
    <col min="2" max="2" width="31" customWidth="1"/>
    <col min="3" max="3" width="12.85546875" customWidth="1"/>
    <col min="4" max="4" width="12" customWidth="1"/>
    <col min="5" max="5" width="12" hidden="1" customWidth="1"/>
    <col min="6" max="6" width="10.5703125" customWidth="1"/>
    <col min="7" max="7" width="12" hidden="1" customWidth="1"/>
    <col min="8" max="9" width="11.7109375" style="7" customWidth="1"/>
    <col min="10" max="10" width="13.85546875" customWidth="1"/>
    <col min="11" max="11" width="14.7109375" customWidth="1"/>
    <col min="12" max="12" width="12.140625" customWidth="1"/>
    <col min="13" max="14" width="12.7109375" customWidth="1"/>
    <col min="15" max="15" width="11.85546875" customWidth="1"/>
    <col min="16" max="16" width="11" customWidth="1"/>
    <col min="17" max="17" width="27.28515625" customWidth="1"/>
    <col min="18" max="18" width="3" style="155" customWidth="1"/>
    <col min="19" max="19" width="17.85546875" customWidth="1"/>
    <col min="20" max="20" width="16.140625" customWidth="1"/>
    <col min="21" max="21" width="20.85546875" customWidth="1"/>
    <col min="23" max="23" width="11.85546875" customWidth="1"/>
  </cols>
  <sheetData>
    <row r="1" spans="1:21">
      <c r="D1" s="1"/>
      <c r="E1" s="1"/>
      <c r="F1" s="2"/>
      <c r="G1" s="3"/>
      <c r="H1" s="3"/>
      <c r="I1" s="3"/>
      <c r="J1" s="3"/>
      <c r="K1" s="3"/>
      <c r="L1" s="3"/>
      <c r="M1" s="4"/>
      <c r="N1" s="4"/>
      <c r="O1" s="3"/>
      <c r="P1" s="3"/>
      <c r="Q1" s="4"/>
      <c r="R1" s="153"/>
      <c r="S1" s="3"/>
      <c r="T1" s="2"/>
    </row>
    <row r="2" spans="1:21" ht="20.25">
      <c r="B2" s="136">
        <v>44414</v>
      </c>
      <c r="C2" s="5"/>
      <c r="D2" s="5"/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53"/>
      <c r="S2" s="3"/>
      <c r="T2" s="2"/>
    </row>
    <row r="3" spans="1:21" ht="21" thickBot="1">
      <c r="B3" s="5"/>
      <c r="C3" s="5"/>
      <c r="D3" s="5"/>
      <c r="E3" s="5"/>
      <c r="F3" s="5"/>
      <c r="G3" s="5"/>
    </row>
    <row r="4" spans="1:21" ht="41.25" thickBot="1">
      <c r="A4" s="2"/>
      <c r="B4" s="2"/>
      <c r="C4" s="207" t="s">
        <v>0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210"/>
      <c r="S4" s="211" t="s">
        <v>1</v>
      </c>
      <c r="T4" s="212"/>
      <c r="U4" s="213"/>
    </row>
    <row r="5" spans="1:21" s="12" customFormat="1" ht="75.75" thickBot="1">
      <c r="A5" s="214" t="s">
        <v>2</v>
      </c>
      <c r="B5" s="215"/>
      <c r="C5" s="8" t="s">
        <v>3</v>
      </c>
      <c r="D5" s="137" t="s">
        <v>4</v>
      </c>
      <c r="E5" s="137" t="s">
        <v>44</v>
      </c>
      <c r="F5" s="8" t="s">
        <v>5</v>
      </c>
      <c r="G5" s="137" t="s">
        <v>6</v>
      </c>
      <c r="H5" s="9" t="s">
        <v>7</v>
      </c>
      <c r="I5" s="9" t="s">
        <v>45</v>
      </c>
      <c r="J5" s="10" t="s">
        <v>46</v>
      </c>
      <c r="K5" s="10" t="s">
        <v>47</v>
      </c>
      <c r="L5" s="205" t="s">
        <v>49</v>
      </c>
      <c r="M5" s="10" t="s">
        <v>48</v>
      </c>
      <c r="N5" s="10" t="s">
        <v>50</v>
      </c>
      <c r="O5" s="62" t="s">
        <v>8</v>
      </c>
      <c r="P5" s="10" t="s">
        <v>51</v>
      </c>
      <c r="Q5" s="10" t="s">
        <v>53</v>
      </c>
      <c r="R5" s="210"/>
      <c r="S5" s="11" t="s">
        <v>9</v>
      </c>
      <c r="T5" s="11" t="s">
        <v>10</v>
      </c>
      <c r="U5" s="11" t="s">
        <v>11</v>
      </c>
    </row>
    <row r="6" spans="1:21">
      <c r="A6" s="216" t="s">
        <v>12</v>
      </c>
      <c r="B6" s="217"/>
      <c r="C6" s="222">
        <v>9000</v>
      </c>
      <c r="D6" s="225">
        <f>+C6*25</f>
        <v>225000</v>
      </c>
      <c r="E6" s="56">
        <f>+C6*320</f>
        <v>2880000</v>
      </c>
      <c r="F6" s="222">
        <v>17</v>
      </c>
      <c r="G6" s="56">
        <v>100000</v>
      </c>
      <c r="H6" s="228">
        <v>181752</v>
      </c>
      <c r="I6" s="228">
        <f>+H6/C6</f>
        <v>20.194666666666667</v>
      </c>
      <c r="J6" s="231">
        <f>+$S$6+I6</f>
        <v>44434.19466666667</v>
      </c>
      <c r="K6" s="169"/>
      <c r="L6" s="170"/>
      <c r="M6" s="171"/>
      <c r="N6" s="86"/>
      <c r="O6" s="228">
        <f>(H6+SUM(K6:K12))/C6*7/6</f>
        <v>30.560444444444443</v>
      </c>
      <c r="P6" s="90"/>
      <c r="Q6" s="87"/>
      <c r="R6" s="154"/>
      <c r="S6" s="234">
        <v>44414</v>
      </c>
      <c r="T6" s="237">
        <f>MAX(N6:N12)</f>
        <v>44444</v>
      </c>
      <c r="U6" s="240">
        <f>+T6-F6</f>
        <v>44427</v>
      </c>
    </row>
    <row r="7" spans="1:21">
      <c r="A7" s="218"/>
      <c r="B7" s="219"/>
      <c r="C7" s="223"/>
      <c r="D7" s="226"/>
      <c r="E7" s="61"/>
      <c r="F7" s="223"/>
      <c r="G7" s="61"/>
      <c r="H7" s="229"/>
      <c r="I7" s="229"/>
      <c r="J7" s="232"/>
      <c r="K7" s="42"/>
      <c r="L7" s="172"/>
      <c r="M7" s="173"/>
      <c r="N7" s="87"/>
      <c r="O7" s="229"/>
      <c r="P7" s="163">
        <f>+IF(M7&lt;J6,1,0)</f>
        <v>1</v>
      </c>
      <c r="Q7" s="87"/>
      <c r="R7" s="154"/>
      <c r="S7" s="235"/>
      <c r="T7" s="238"/>
      <c r="U7" s="241"/>
    </row>
    <row r="8" spans="1:21">
      <c r="A8" s="218"/>
      <c r="B8" s="219"/>
      <c r="C8" s="223"/>
      <c r="D8" s="226"/>
      <c r="E8" s="61"/>
      <c r="F8" s="223"/>
      <c r="G8" s="61"/>
      <c r="H8" s="229"/>
      <c r="I8" s="229"/>
      <c r="J8" s="232"/>
      <c r="K8" s="114"/>
      <c r="L8" s="114"/>
      <c r="M8" s="115"/>
      <c r="N8" s="87"/>
      <c r="O8" s="229"/>
      <c r="P8" s="163"/>
      <c r="Q8" s="87"/>
      <c r="R8" s="154"/>
      <c r="S8" s="235"/>
      <c r="T8" s="238"/>
      <c r="U8" s="241"/>
    </row>
    <row r="9" spans="1:21">
      <c r="A9" s="218"/>
      <c r="B9" s="219"/>
      <c r="C9" s="223"/>
      <c r="D9" s="226"/>
      <c r="E9" s="61"/>
      <c r="F9" s="223"/>
      <c r="G9" s="61"/>
      <c r="H9" s="229"/>
      <c r="I9" s="229"/>
      <c r="J9" s="232"/>
      <c r="K9" s="165"/>
      <c r="L9" s="166"/>
      <c r="M9" s="167"/>
      <c r="N9" s="87"/>
      <c r="O9" s="229"/>
      <c r="P9" s="163"/>
      <c r="Q9" s="87"/>
      <c r="R9" s="154"/>
      <c r="S9" s="235"/>
      <c r="T9" s="238"/>
      <c r="U9" s="241"/>
    </row>
    <row r="10" spans="1:21">
      <c r="A10" s="218"/>
      <c r="B10" s="219"/>
      <c r="C10" s="223"/>
      <c r="D10" s="226"/>
      <c r="E10" s="61"/>
      <c r="F10" s="223"/>
      <c r="G10" s="61"/>
      <c r="H10" s="229"/>
      <c r="I10" s="229"/>
      <c r="J10" s="232"/>
      <c r="K10" s="165"/>
      <c r="L10" s="166"/>
      <c r="M10" s="167"/>
      <c r="N10" s="87"/>
      <c r="O10" s="229"/>
      <c r="P10" s="163"/>
      <c r="Q10" s="87"/>
      <c r="R10" s="154"/>
      <c r="S10" s="235"/>
      <c r="T10" s="238"/>
      <c r="U10" s="241"/>
    </row>
    <row r="11" spans="1:21">
      <c r="A11" s="218"/>
      <c r="B11" s="219"/>
      <c r="C11" s="223"/>
      <c r="D11" s="226"/>
      <c r="E11" s="61"/>
      <c r="F11" s="223"/>
      <c r="G11" s="61"/>
      <c r="H11" s="229"/>
      <c r="I11" s="229"/>
      <c r="J11" s="232"/>
      <c r="K11" s="165">
        <v>54000</v>
      </c>
      <c r="L11" s="166" t="s">
        <v>58</v>
      </c>
      <c r="M11" s="167">
        <v>44438</v>
      </c>
      <c r="N11" s="87">
        <f>+M11+(K11/$C$6)+IF((J11-M11)&gt;0,(J11-M11)*7/6,IF((J11-M11)&lt;0,0))</f>
        <v>44444</v>
      </c>
      <c r="O11" s="229"/>
      <c r="P11" s="163"/>
      <c r="Q11" s="87"/>
      <c r="R11" s="154"/>
      <c r="S11" s="235"/>
      <c r="T11" s="238"/>
      <c r="U11" s="241"/>
    </row>
    <row r="12" spans="1:21" ht="15.75" thickBot="1">
      <c r="A12" s="220"/>
      <c r="B12" s="221"/>
      <c r="C12" s="224"/>
      <c r="D12" s="227"/>
      <c r="E12" s="57"/>
      <c r="F12" s="224"/>
      <c r="G12" s="57"/>
      <c r="H12" s="230"/>
      <c r="I12" s="230"/>
      <c r="J12" s="233"/>
      <c r="K12" s="165"/>
      <c r="L12" s="166"/>
      <c r="M12" s="168"/>
      <c r="N12" s="182"/>
      <c r="O12" s="230"/>
      <c r="P12" s="164"/>
      <c r="Q12" s="87"/>
      <c r="R12" s="154"/>
      <c r="S12" s="235"/>
      <c r="T12" s="239"/>
      <c r="U12" s="242"/>
    </row>
    <row r="13" spans="1:21">
      <c r="A13" s="216" t="s">
        <v>13</v>
      </c>
      <c r="B13" s="217"/>
      <c r="C13" s="222">
        <v>5700</v>
      </c>
      <c r="D13" s="225">
        <f>+C13*25</f>
        <v>142500</v>
      </c>
      <c r="E13" s="56">
        <f t="shared" ref="E13:E46" si="0">+C13*320</f>
        <v>1824000</v>
      </c>
      <c r="F13" s="222">
        <v>54</v>
      </c>
      <c r="G13" s="56">
        <v>100000</v>
      </c>
      <c r="H13" s="228">
        <v>45600</v>
      </c>
      <c r="I13" s="228">
        <f>+H13/C13*7/6</f>
        <v>9.3333333333333339</v>
      </c>
      <c r="J13" s="231">
        <f>+$S$6+I13</f>
        <v>44423.333333333336</v>
      </c>
      <c r="K13" s="85"/>
      <c r="L13" s="85"/>
      <c r="M13" s="86"/>
      <c r="N13" s="86"/>
      <c r="O13" s="252">
        <f>(H13+K13+K14+K15)/C13</f>
        <v>33.339122807017546</v>
      </c>
      <c r="P13" s="116">
        <f>+IF(M13&lt;J13,1,0)</f>
        <v>1</v>
      </c>
      <c r="Q13" s="86"/>
      <c r="R13" s="154"/>
      <c r="S13" s="235"/>
      <c r="T13" s="237">
        <f>MAX(N13:N15)</f>
        <v>44460.048111111108</v>
      </c>
      <c r="U13" s="243">
        <f>+T13-F13</f>
        <v>44406.048111111108</v>
      </c>
    </row>
    <row r="14" spans="1:21">
      <c r="A14" s="218"/>
      <c r="B14" s="219"/>
      <c r="C14" s="223"/>
      <c r="D14" s="226"/>
      <c r="E14" s="61"/>
      <c r="F14" s="223"/>
      <c r="G14" s="61"/>
      <c r="H14" s="229"/>
      <c r="I14" s="229"/>
      <c r="J14" s="232"/>
      <c r="K14" s="114">
        <v>144433</v>
      </c>
      <c r="L14" s="114" t="s">
        <v>59</v>
      </c>
      <c r="M14" s="115">
        <v>44444</v>
      </c>
      <c r="N14" s="87">
        <f t="shared" ref="N14" si="1">+M14+(K14/$C$6)+IF((J14-M14)&gt;0,(J14-M14)*7/6,IF((J14-M14)&lt;0,0))</f>
        <v>44460.048111111108</v>
      </c>
      <c r="O14" s="253"/>
      <c r="P14" s="91"/>
      <c r="Q14" s="87"/>
      <c r="R14" s="154"/>
      <c r="S14" s="235"/>
      <c r="T14" s="238"/>
      <c r="U14" s="244"/>
    </row>
    <row r="15" spans="1:21" ht="15.75" thickBot="1">
      <c r="A15" s="220"/>
      <c r="B15" s="221"/>
      <c r="C15" s="224"/>
      <c r="D15" s="227"/>
      <c r="E15" s="57"/>
      <c r="F15" s="224"/>
      <c r="G15" s="57"/>
      <c r="H15" s="230"/>
      <c r="I15" s="230"/>
      <c r="J15" s="233"/>
      <c r="K15" s="58"/>
      <c r="L15" s="58"/>
      <c r="M15" s="58"/>
      <c r="N15" s="103"/>
      <c r="O15" s="254"/>
      <c r="P15" s="92"/>
      <c r="Q15" s="58"/>
      <c r="R15" s="154"/>
      <c r="S15" s="235"/>
      <c r="T15" s="239"/>
      <c r="U15" s="245"/>
    </row>
    <row r="16" spans="1:21" ht="15.75" thickBot="1">
      <c r="A16" s="246" t="s">
        <v>14</v>
      </c>
      <c r="B16" s="248" t="s">
        <v>15</v>
      </c>
      <c r="C16" s="222">
        <v>2200</v>
      </c>
      <c r="D16" s="225">
        <f>+C16*25</f>
        <v>55000</v>
      </c>
      <c r="E16" s="251">
        <f>+C16*320</f>
        <v>704000</v>
      </c>
      <c r="F16" s="222">
        <v>54</v>
      </c>
      <c r="G16" s="263">
        <v>40000</v>
      </c>
      <c r="H16" s="264">
        <v>84000</v>
      </c>
      <c r="I16" s="264">
        <f>+(H16+H19)/C16</f>
        <v>38.18181818181818</v>
      </c>
      <c r="J16" s="231">
        <f>+$S$6+I16</f>
        <v>44452.181818181816</v>
      </c>
      <c r="K16" s="112"/>
      <c r="L16" s="112"/>
      <c r="M16" s="113"/>
      <c r="N16" s="101"/>
      <c r="O16" s="228">
        <f>((H16+SUM(K17:K22))/C16)</f>
        <v>103.83318181818181</v>
      </c>
      <c r="P16" s="90"/>
      <c r="Q16" s="113"/>
      <c r="R16" s="154"/>
      <c r="S16" s="235"/>
      <c r="T16" s="237">
        <f>MAX(N16:N19)</f>
        <v>0</v>
      </c>
      <c r="U16" s="243">
        <f>+T16-F16</f>
        <v>-54</v>
      </c>
    </row>
    <row r="17" spans="1:24" ht="15.75" thickBot="1">
      <c r="A17" s="246"/>
      <c r="B17" s="249"/>
      <c r="C17" s="249"/>
      <c r="D17" s="249"/>
      <c r="E17" s="251"/>
      <c r="F17" s="249"/>
      <c r="G17" s="263"/>
      <c r="H17" s="265"/>
      <c r="I17" s="265"/>
      <c r="J17" s="232"/>
      <c r="K17" s="114"/>
      <c r="L17" s="114"/>
      <c r="M17" s="115"/>
      <c r="N17" s="87"/>
      <c r="O17" s="229"/>
      <c r="P17" s="116">
        <f>+IF(M17&lt;J16,1,0)</f>
        <v>1</v>
      </c>
      <c r="Q17" s="105"/>
      <c r="R17" s="154"/>
      <c r="S17" s="235"/>
      <c r="T17" s="238"/>
      <c r="U17" s="244"/>
    </row>
    <row r="18" spans="1:24" ht="15.75" thickBot="1">
      <c r="A18" s="246"/>
      <c r="B18" s="249"/>
      <c r="C18" s="249"/>
      <c r="D18" s="249"/>
      <c r="E18" s="251"/>
      <c r="F18" s="250"/>
      <c r="G18" s="263"/>
      <c r="H18" s="265"/>
      <c r="I18" s="265"/>
      <c r="J18" s="232"/>
      <c r="K18" s="156"/>
      <c r="L18" s="156"/>
      <c r="M18" s="157"/>
      <c r="N18" s="103"/>
      <c r="O18" s="229"/>
      <c r="P18" s="116">
        <f>+IF(M18&lt;N17,1,0)</f>
        <v>0</v>
      </c>
      <c r="Q18" s="54"/>
      <c r="R18" s="154"/>
      <c r="S18" s="235"/>
      <c r="T18" s="238"/>
      <c r="U18" s="244"/>
    </row>
    <row r="19" spans="1:24" ht="15.75" thickBot="1">
      <c r="A19" s="246"/>
      <c r="B19" s="246" t="s">
        <v>16</v>
      </c>
      <c r="C19" s="249"/>
      <c r="D19" s="249"/>
      <c r="E19" s="251"/>
      <c r="F19" s="222">
        <v>54</v>
      </c>
      <c r="G19" s="263"/>
      <c r="H19" s="265"/>
      <c r="I19" s="265"/>
      <c r="J19" s="232"/>
      <c r="K19" s="120"/>
      <c r="L19" s="120"/>
      <c r="M19" s="121"/>
      <c r="N19" s="101"/>
      <c r="O19" s="229"/>
      <c r="P19" s="116"/>
      <c r="Q19" s="113"/>
      <c r="R19" s="154"/>
      <c r="S19" s="235"/>
      <c r="T19" s="238"/>
      <c r="U19" s="244"/>
    </row>
    <row r="20" spans="1:24" ht="15.75" thickBot="1">
      <c r="A20" s="246"/>
      <c r="B20" s="246"/>
      <c r="C20" s="249"/>
      <c r="D20" s="249"/>
      <c r="E20" s="251"/>
      <c r="F20" s="223"/>
      <c r="G20" s="263"/>
      <c r="H20" s="265"/>
      <c r="I20" s="265"/>
      <c r="J20" s="232"/>
      <c r="K20" s="120"/>
      <c r="L20" s="120"/>
      <c r="M20" s="121"/>
      <c r="N20" s="87"/>
      <c r="O20" s="229"/>
      <c r="P20" s="116"/>
      <c r="Q20" s="79"/>
      <c r="R20" s="154"/>
      <c r="S20" s="235"/>
      <c r="T20" s="238"/>
      <c r="U20" s="244"/>
    </row>
    <row r="21" spans="1:24" ht="15.75" thickBot="1">
      <c r="A21" s="246"/>
      <c r="B21" s="247"/>
      <c r="C21" s="250"/>
      <c r="D21" s="250"/>
      <c r="E21" s="251"/>
      <c r="F21" s="224"/>
      <c r="G21" s="263"/>
      <c r="H21" s="266"/>
      <c r="I21" s="266"/>
      <c r="J21" s="233"/>
      <c r="K21" s="106"/>
      <c r="L21" s="106"/>
      <c r="M21" s="79"/>
      <c r="N21" s="182"/>
      <c r="O21" s="229"/>
      <c r="P21" s="122"/>
      <c r="Q21" s="105"/>
      <c r="R21" s="154"/>
      <c r="S21" s="235"/>
      <c r="T21" s="238"/>
      <c r="U21" s="244"/>
    </row>
    <row r="22" spans="1:24" s="132" customFormat="1" ht="15.75" thickBot="1">
      <c r="A22" s="247"/>
      <c r="B22" s="126" t="s">
        <v>54</v>
      </c>
      <c r="C22" s="138">
        <f>+C13+C16</f>
        <v>7900</v>
      </c>
      <c r="D22" s="127">
        <f>+D13+D16</f>
        <v>197500</v>
      </c>
      <c r="E22" s="251"/>
      <c r="F22" s="151">
        <v>54</v>
      </c>
      <c r="G22" s="263"/>
      <c r="H22" s="127">
        <f>+H16+H13+H19</f>
        <v>129600</v>
      </c>
      <c r="I22" s="127">
        <f>+H22/C22</f>
        <v>16.405063291139239</v>
      </c>
      <c r="J22" s="128">
        <f>+$S$6+I22</f>
        <v>44430.405063291139</v>
      </c>
      <c r="K22" s="129">
        <f>SUM(K16:K16,K19:K20,K13:K15)</f>
        <v>144433</v>
      </c>
      <c r="L22" s="129"/>
      <c r="M22" s="130"/>
      <c r="N22" s="128"/>
      <c r="O22" s="230"/>
      <c r="P22" s="131" t="e">
        <f>+IF(M22&lt;#REF!,1,0)</f>
        <v>#REF!</v>
      </c>
      <c r="Q22" s="130"/>
      <c r="R22" s="154"/>
      <c r="S22" s="235"/>
      <c r="T22" s="239"/>
      <c r="U22" s="245"/>
    </row>
    <row r="23" spans="1:24" s="27" customFormat="1" ht="15.75" thickBot="1">
      <c r="A23" s="255" t="s">
        <v>17</v>
      </c>
      <c r="B23" s="258" t="s">
        <v>18</v>
      </c>
      <c r="C23" s="222">
        <v>3200</v>
      </c>
      <c r="D23" s="225">
        <f>+C23*25</f>
        <v>80000</v>
      </c>
      <c r="E23" s="13">
        <f t="shared" si="0"/>
        <v>1024000</v>
      </c>
      <c r="F23" s="222">
        <v>60</v>
      </c>
      <c r="G23" s="123">
        <f>0.85*C23*F23</f>
        <v>163200</v>
      </c>
      <c r="H23" s="228">
        <v>34200</v>
      </c>
      <c r="I23" s="228">
        <f t="shared" ref="I23:I45" si="2">+H23/C23</f>
        <v>10.6875</v>
      </c>
      <c r="J23" s="274">
        <f>+$S$6+I23</f>
        <v>44424.6875</v>
      </c>
      <c r="K23" s="120"/>
      <c r="L23" s="120"/>
      <c r="M23" s="86"/>
      <c r="N23" s="101"/>
      <c r="O23" s="228">
        <f>(H23+SUM(K24:K27))/C23*7/6</f>
        <v>12.46875</v>
      </c>
      <c r="P23" s="98"/>
      <c r="Q23" s="121"/>
      <c r="R23" s="154"/>
      <c r="S23" s="235"/>
      <c r="T23" s="124">
        <f>MAX(N23)</f>
        <v>0</v>
      </c>
      <c r="U23" s="125">
        <f t="shared" ref="U23:U46" si="3">+T23-F23</f>
        <v>-60</v>
      </c>
      <c r="V23" s="26"/>
      <c r="W23" s="7"/>
      <c r="X23" s="7"/>
    </row>
    <row r="24" spans="1:24" s="27" customFormat="1" ht="15.75" thickBot="1">
      <c r="A24" s="256"/>
      <c r="B24" s="259"/>
      <c r="C24" s="223"/>
      <c r="D24" s="226"/>
      <c r="E24" s="76"/>
      <c r="F24" s="223"/>
      <c r="G24" s="107"/>
      <c r="H24" s="229"/>
      <c r="I24" s="229"/>
      <c r="J24" s="275"/>
      <c r="K24" s="114"/>
      <c r="L24" s="114"/>
      <c r="M24" s="152"/>
      <c r="N24" s="87"/>
      <c r="O24" s="229"/>
      <c r="P24" s="117">
        <f>IF(M24&lt;J23,1,0)</f>
        <v>1</v>
      </c>
      <c r="Q24" s="105"/>
      <c r="R24" s="154"/>
      <c r="S24" s="235"/>
      <c r="T24" s="17"/>
      <c r="U24" s="22"/>
      <c r="V24" s="26"/>
      <c r="W24" s="7"/>
      <c r="X24" s="7"/>
    </row>
    <row r="25" spans="1:24" s="27" customFormat="1" ht="15.75" thickBot="1">
      <c r="A25" s="256"/>
      <c r="B25" s="259"/>
      <c r="C25" s="223"/>
      <c r="D25" s="226"/>
      <c r="E25" s="76"/>
      <c r="F25" s="223"/>
      <c r="G25" s="107"/>
      <c r="H25" s="229"/>
      <c r="I25" s="229"/>
      <c r="J25" s="275"/>
      <c r="K25" s="114"/>
      <c r="L25" s="114"/>
      <c r="M25" s="134"/>
      <c r="N25" s="87"/>
      <c r="O25" s="229"/>
      <c r="P25" s="117"/>
      <c r="Q25" s="105"/>
      <c r="R25" s="154"/>
      <c r="S25" s="235"/>
      <c r="T25" s="17"/>
      <c r="U25" s="22"/>
      <c r="V25" s="26"/>
      <c r="W25" s="7"/>
      <c r="X25" s="7"/>
    </row>
    <row r="26" spans="1:24" s="27" customFormat="1" ht="15.75" thickBot="1">
      <c r="A26" s="256"/>
      <c r="B26" s="259"/>
      <c r="C26" s="223"/>
      <c r="D26" s="226"/>
      <c r="E26" s="76"/>
      <c r="F26" s="223"/>
      <c r="G26" s="107"/>
      <c r="H26" s="229"/>
      <c r="I26" s="229"/>
      <c r="J26" s="275"/>
      <c r="K26" s="114"/>
      <c r="L26" s="114"/>
      <c r="M26" s="134"/>
      <c r="N26" s="87"/>
      <c r="O26" s="229"/>
      <c r="P26" s="117"/>
      <c r="Q26" s="105"/>
      <c r="R26" s="154"/>
      <c r="S26" s="235"/>
      <c r="T26" s="17"/>
      <c r="U26" s="22"/>
      <c r="V26" s="26"/>
      <c r="W26" s="7"/>
      <c r="X26" s="7"/>
    </row>
    <row r="27" spans="1:24" s="27" customFormat="1" ht="15.75" thickBot="1">
      <c r="A27" s="256"/>
      <c r="B27" s="260"/>
      <c r="C27" s="261"/>
      <c r="D27" s="262"/>
      <c r="E27" s="76"/>
      <c r="F27" s="261"/>
      <c r="G27" s="107"/>
      <c r="H27" s="273"/>
      <c r="I27" s="273"/>
      <c r="J27" s="276"/>
      <c r="K27" s="106"/>
      <c r="L27" s="106"/>
      <c r="M27" s="133"/>
      <c r="N27" s="87"/>
      <c r="O27" s="230"/>
      <c r="P27" s="117">
        <f>IF(M27&lt;N24,1,0)</f>
        <v>0</v>
      </c>
      <c r="Q27" s="105"/>
      <c r="R27" s="154"/>
      <c r="S27" s="235"/>
      <c r="T27" s="17"/>
      <c r="U27" s="22"/>
      <c r="V27" s="26"/>
      <c r="W27" s="7"/>
      <c r="X27" s="7"/>
    </row>
    <row r="28" spans="1:24" ht="15.75" thickBot="1">
      <c r="A28" s="257"/>
      <c r="B28" s="185" t="s">
        <v>19</v>
      </c>
      <c r="C28" s="186">
        <v>110</v>
      </c>
      <c r="D28" s="110">
        <f t="shared" ref="D28:D40" si="4">+C28*25</f>
        <v>2750</v>
      </c>
      <c r="E28" s="110">
        <f t="shared" si="0"/>
        <v>35200</v>
      </c>
      <c r="F28" s="187">
        <v>60</v>
      </c>
      <c r="G28" s="110">
        <f t="shared" ref="G28:G38" si="5">0.85*C28*F28</f>
        <v>5610</v>
      </c>
      <c r="H28" s="188">
        <v>0</v>
      </c>
      <c r="I28" s="189">
        <f t="shared" si="2"/>
        <v>0</v>
      </c>
      <c r="J28" s="190">
        <f t="shared" ref="J28:J46" si="6">+$S$6+I28</f>
        <v>44414</v>
      </c>
      <c r="K28" s="191"/>
      <c r="L28" s="191"/>
      <c r="M28" s="190"/>
      <c r="N28" s="192"/>
      <c r="O28" s="193">
        <f t="shared" ref="O28:O36" si="7">(H28+K28)/C28</f>
        <v>0</v>
      </c>
      <c r="P28" s="194" t="s">
        <v>52</v>
      </c>
      <c r="Q28" s="190"/>
      <c r="R28" s="154"/>
      <c r="S28" s="235"/>
      <c r="T28" s="17">
        <f>MAX(N23)</f>
        <v>0</v>
      </c>
      <c r="U28" s="22">
        <f t="shared" si="3"/>
        <v>-60</v>
      </c>
    </row>
    <row r="29" spans="1:24" ht="15.75" thickBot="1">
      <c r="A29" s="183"/>
      <c r="B29" s="195" t="s">
        <v>56</v>
      </c>
      <c r="C29" s="196"/>
      <c r="D29" s="197"/>
      <c r="E29" s="197"/>
      <c r="F29" s="198"/>
      <c r="G29" s="197"/>
      <c r="H29" s="199">
        <v>107500</v>
      </c>
      <c r="I29" s="199"/>
      <c r="J29" s="200"/>
      <c r="K29" s="201">
        <v>50000</v>
      </c>
      <c r="L29" s="201" t="s">
        <v>57</v>
      </c>
      <c r="M29" s="200"/>
      <c r="N29" s="202"/>
      <c r="O29" s="199"/>
      <c r="P29" s="203"/>
      <c r="Q29" s="200"/>
      <c r="R29" s="184"/>
      <c r="S29" s="235"/>
      <c r="T29" s="17"/>
      <c r="U29" s="22"/>
    </row>
    <row r="30" spans="1:24" ht="15.75" thickBot="1">
      <c r="A30" s="183"/>
      <c r="B30" s="195" t="s">
        <v>60</v>
      </c>
      <c r="C30" s="196"/>
      <c r="D30" s="197"/>
      <c r="E30" s="197"/>
      <c r="F30" s="198"/>
      <c r="G30" s="197"/>
      <c r="H30" s="199">
        <f>+H29+H28+H23</f>
        <v>141700</v>
      </c>
      <c r="I30" s="199"/>
      <c r="J30" s="200"/>
      <c r="K30" s="201"/>
      <c r="L30" s="201"/>
      <c r="M30" s="200"/>
      <c r="N30" s="202"/>
      <c r="O30" s="199"/>
      <c r="P30" s="203"/>
      <c r="Q30" s="200"/>
      <c r="R30" s="184"/>
      <c r="S30" s="235"/>
      <c r="T30" s="17"/>
      <c r="U30" s="22"/>
    </row>
    <row r="31" spans="1:24" ht="15.75" thickBot="1">
      <c r="A31" s="288" t="s">
        <v>55</v>
      </c>
      <c r="B31" s="289"/>
      <c r="C31" s="140">
        <v>25</v>
      </c>
      <c r="D31" s="76">
        <f t="shared" si="4"/>
        <v>625</v>
      </c>
      <c r="E31" s="76">
        <f t="shared" si="0"/>
        <v>8000</v>
      </c>
      <c r="F31" s="146">
        <f>(4*3)+(7*3)</f>
        <v>33</v>
      </c>
      <c r="G31" s="76">
        <f t="shared" si="5"/>
        <v>701.25</v>
      </c>
      <c r="H31" s="77">
        <v>600</v>
      </c>
      <c r="I31" s="78">
        <f t="shared" si="2"/>
        <v>24</v>
      </c>
      <c r="J31" s="79">
        <f t="shared" si="6"/>
        <v>44438</v>
      </c>
      <c r="K31" s="60"/>
      <c r="L31" s="60"/>
      <c r="M31" s="59"/>
      <c r="N31" s="101"/>
      <c r="O31" s="80">
        <f t="shared" si="7"/>
        <v>24</v>
      </c>
      <c r="P31" s="95"/>
      <c r="Q31" s="79"/>
      <c r="R31" s="154"/>
      <c r="S31" s="235"/>
      <c r="T31" s="17">
        <f t="shared" ref="T31:T46" si="8">+$S$6+O31</f>
        <v>44438</v>
      </c>
      <c r="U31" s="22">
        <f t="shared" si="3"/>
        <v>44405</v>
      </c>
    </row>
    <row r="32" spans="1:24" ht="15.75" thickBot="1">
      <c r="A32" s="81" t="s">
        <v>42</v>
      </c>
      <c r="B32" s="82" t="s">
        <v>41</v>
      </c>
      <c r="C32" s="141">
        <v>50</v>
      </c>
      <c r="D32" s="23">
        <f t="shared" si="4"/>
        <v>1250</v>
      </c>
      <c r="E32" s="23">
        <f t="shared" si="0"/>
        <v>16000</v>
      </c>
      <c r="F32" s="147">
        <f t="shared" ref="F32:F33" si="9">(4*3)+(7*3)</f>
        <v>33</v>
      </c>
      <c r="G32" s="23">
        <f t="shared" si="5"/>
        <v>1402.5</v>
      </c>
      <c r="H32" s="49">
        <v>1300</v>
      </c>
      <c r="I32" s="24">
        <f t="shared" si="2"/>
        <v>26</v>
      </c>
      <c r="J32" s="66">
        <f t="shared" si="6"/>
        <v>44440</v>
      </c>
      <c r="K32" s="33"/>
      <c r="L32" s="33"/>
      <c r="M32" s="101"/>
      <c r="N32" s="86"/>
      <c r="O32" s="25">
        <f t="shared" si="7"/>
        <v>26</v>
      </c>
      <c r="P32" s="93"/>
      <c r="Q32" s="86"/>
      <c r="R32" s="154"/>
      <c r="S32" s="235"/>
      <c r="T32" s="17">
        <f t="shared" si="8"/>
        <v>44440</v>
      </c>
      <c r="U32" s="22">
        <f t="shared" si="3"/>
        <v>44407</v>
      </c>
    </row>
    <row r="33" spans="1:25" ht="15.75" thickBot="1">
      <c r="A33" s="83" t="s">
        <v>24</v>
      </c>
      <c r="B33" s="84" t="s">
        <v>25</v>
      </c>
      <c r="C33" s="139">
        <v>10</v>
      </c>
      <c r="D33" s="28">
        <f t="shared" si="4"/>
        <v>250</v>
      </c>
      <c r="E33" s="28">
        <f t="shared" si="0"/>
        <v>3200</v>
      </c>
      <c r="F33" s="145">
        <f t="shared" si="9"/>
        <v>33</v>
      </c>
      <c r="G33" s="28">
        <f t="shared" si="5"/>
        <v>280.5</v>
      </c>
      <c r="H33" s="51">
        <v>3180</v>
      </c>
      <c r="I33" s="29">
        <f t="shared" si="2"/>
        <v>318</v>
      </c>
      <c r="J33" s="54">
        <f t="shared" si="6"/>
        <v>44732</v>
      </c>
      <c r="K33" s="30"/>
      <c r="L33" s="30"/>
      <c r="M33" s="30"/>
      <c r="N33" s="86"/>
      <c r="O33" s="31">
        <f t="shared" si="7"/>
        <v>318</v>
      </c>
      <c r="P33" s="94"/>
      <c r="Q33" s="30"/>
      <c r="R33" s="154"/>
      <c r="S33" s="235"/>
      <c r="T33" s="17">
        <f t="shared" si="8"/>
        <v>44732</v>
      </c>
      <c r="U33" s="22">
        <f t="shared" si="3"/>
        <v>44699</v>
      </c>
    </row>
    <row r="34" spans="1:25" ht="15.75" thickBot="1">
      <c r="A34" s="286" t="s">
        <v>26</v>
      </c>
      <c r="B34" s="290"/>
      <c r="C34" s="142">
        <f>0.08*C16*1.5</f>
        <v>264</v>
      </c>
      <c r="D34" s="71">
        <f t="shared" si="4"/>
        <v>6600</v>
      </c>
      <c r="E34" s="71">
        <f t="shared" si="0"/>
        <v>84480</v>
      </c>
      <c r="F34" s="148">
        <v>21</v>
      </c>
      <c r="G34" s="71">
        <f>0.85*C34*F34</f>
        <v>4712.4000000000005</v>
      </c>
      <c r="H34" s="51">
        <v>8414</v>
      </c>
      <c r="I34" s="73">
        <f t="shared" si="2"/>
        <v>31.871212121212121</v>
      </c>
      <c r="J34" s="74">
        <f t="shared" si="6"/>
        <v>44445.871212121216</v>
      </c>
      <c r="K34" s="72"/>
      <c r="L34" s="72"/>
      <c r="M34" s="89"/>
      <c r="N34" s="86"/>
      <c r="O34" s="75">
        <f t="shared" si="7"/>
        <v>31.871212121212121</v>
      </c>
      <c r="P34" s="96"/>
      <c r="Q34" s="72"/>
      <c r="R34" s="154"/>
      <c r="S34" s="235"/>
      <c r="T34" s="17">
        <f t="shared" si="8"/>
        <v>44445.871212121216</v>
      </c>
      <c r="U34" s="22">
        <f t="shared" si="3"/>
        <v>44424.871212121216</v>
      </c>
    </row>
    <row r="35" spans="1:25" ht="15.75" thickBot="1">
      <c r="A35" s="277" t="s">
        <v>27</v>
      </c>
      <c r="B35" s="64" t="s">
        <v>28</v>
      </c>
      <c r="C35" s="141">
        <v>100</v>
      </c>
      <c r="D35" s="23">
        <f t="shared" si="4"/>
        <v>2500</v>
      </c>
      <c r="E35" s="65">
        <f t="shared" si="0"/>
        <v>32000</v>
      </c>
      <c r="F35" s="147">
        <v>35</v>
      </c>
      <c r="G35" s="23">
        <f t="shared" si="5"/>
        <v>2975</v>
      </c>
      <c r="H35" s="49">
        <v>8000</v>
      </c>
      <c r="I35" s="24">
        <f t="shared" si="2"/>
        <v>80</v>
      </c>
      <c r="J35" s="66">
        <f t="shared" si="6"/>
        <v>44494</v>
      </c>
      <c r="K35" s="158"/>
      <c r="L35" s="158"/>
      <c r="M35" s="158"/>
      <c r="N35" s="86"/>
      <c r="O35" s="25">
        <f t="shared" si="7"/>
        <v>80</v>
      </c>
      <c r="P35" s="93"/>
      <c r="Q35" s="33"/>
      <c r="R35" s="154"/>
      <c r="S35" s="235"/>
      <c r="T35" s="17">
        <f t="shared" si="8"/>
        <v>44494</v>
      </c>
      <c r="U35" s="22">
        <f t="shared" si="3"/>
        <v>44459</v>
      </c>
    </row>
    <row r="36" spans="1:25" ht="14.25" customHeight="1" thickBot="1">
      <c r="A36" s="278"/>
      <c r="B36" s="34" t="s">
        <v>29</v>
      </c>
      <c r="C36" s="143">
        <v>270</v>
      </c>
      <c r="D36" s="18">
        <f t="shared" si="4"/>
        <v>6750</v>
      </c>
      <c r="E36" s="48">
        <f t="shared" si="0"/>
        <v>86400</v>
      </c>
      <c r="F36" s="149">
        <v>35</v>
      </c>
      <c r="G36" s="18">
        <f t="shared" si="5"/>
        <v>8032.5</v>
      </c>
      <c r="H36" s="50">
        <v>14772</v>
      </c>
      <c r="I36" s="19">
        <f t="shared" si="2"/>
        <v>54.711111111111109</v>
      </c>
      <c r="J36" s="53">
        <f t="shared" si="6"/>
        <v>44468.711111111108</v>
      </c>
      <c r="K36" s="159"/>
      <c r="L36" s="115"/>
      <c r="M36" s="115"/>
      <c r="N36" s="86"/>
      <c r="O36" s="67">
        <f t="shared" si="7"/>
        <v>54.711111111111109</v>
      </c>
      <c r="P36" s="118">
        <f>IF(M36&lt;J36,1,0)</f>
        <v>1</v>
      </c>
      <c r="Q36" s="53"/>
      <c r="R36" s="154"/>
      <c r="S36" s="235"/>
      <c r="T36" s="17">
        <f t="shared" si="8"/>
        <v>44468.711111111108</v>
      </c>
      <c r="U36" s="22">
        <f t="shared" si="3"/>
        <v>44433.711111111108</v>
      </c>
    </row>
    <row r="37" spans="1:25" ht="15.75" thickBot="1">
      <c r="A37" s="279"/>
      <c r="B37" s="34" t="s">
        <v>30</v>
      </c>
      <c r="C37" s="143">
        <v>115</v>
      </c>
      <c r="D37" s="18">
        <f t="shared" si="4"/>
        <v>2875</v>
      </c>
      <c r="E37" s="48">
        <f t="shared" si="0"/>
        <v>36800</v>
      </c>
      <c r="F37" s="149">
        <v>35</v>
      </c>
      <c r="G37" s="18">
        <f t="shared" si="5"/>
        <v>3421.25</v>
      </c>
      <c r="H37" s="50">
        <v>1170</v>
      </c>
      <c r="I37" s="19">
        <f t="shared" si="2"/>
        <v>10.173913043478262</v>
      </c>
      <c r="J37" s="53">
        <f t="shared" si="6"/>
        <v>44424.17391304348</v>
      </c>
      <c r="K37" s="159"/>
      <c r="L37" s="115"/>
      <c r="M37" s="115"/>
      <c r="N37" s="86"/>
      <c r="O37" s="67">
        <f>(H37+K37)/C37</f>
        <v>10.173913043478262</v>
      </c>
      <c r="P37" s="118">
        <f>IF(M37&lt;J37,1,0)</f>
        <v>1</v>
      </c>
      <c r="Q37" s="53"/>
      <c r="R37" s="154"/>
      <c r="S37" s="235"/>
      <c r="T37" s="17">
        <f t="shared" si="8"/>
        <v>44424.17391304348</v>
      </c>
      <c r="U37" s="22">
        <f t="shared" si="3"/>
        <v>44389.17391304348</v>
      </c>
    </row>
    <row r="38" spans="1:25" ht="15.75" thickBot="1">
      <c r="A38" s="278"/>
      <c r="B38" s="34" t="s">
        <v>31</v>
      </c>
      <c r="C38" s="143">
        <v>135</v>
      </c>
      <c r="D38" s="18">
        <f t="shared" si="4"/>
        <v>3375</v>
      </c>
      <c r="E38" s="48">
        <f t="shared" si="0"/>
        <v>43200</v>
      </c>
      <c r="F38" s="149">
        <v>35</v>
      </c>
      <c r="G38" s="18">
        <f t="shared" si="5"/>
        <v>4016.25</v>
      </c>
      <c r="H38" s="50">
        <v>3555</v>
      </c>
      <c r="I38" s="19">
        <f t="shared" si="2"/>
        <v>26.333333333333332</v>
      </c>
      <c r="J38" s="53">
        <f t="shared" si="6"/>
        <v>44440.333333333336</v>
      </c>
      <c r="K38" s="159"/>
      <c r="L38" s="115"/>
      <c r="M38" s="115"/>
      <c r="N38" s="86"/>
      <c r="O38" s="67">
        <f>(H38+K38)/C38</f>
        <v>26.333333333333332</v>
      </c>
      <c r="P38" s="118">
        <f>IF(M38&lt;J38,1,0)</f>
        <v>1</v>
      </c>
      <c r="Q38" s="53"/>
      <c r="R38" s="154"/>
      <c r="S38" s="235"/>
      <c r="T38" s="17">
        <f t="shared" si="8"/>
        <v>44440.333333333336</v>
      </c>
      <c r="U38" s="22">
        <f t="shared" si="3"/>
        <v>44405.333333333336</v>
      </c>
    </row>
    <row r="39" spans="1:25" ht="15.75" thickBot="1">
      <c r="A39" s="278"/>
      <c r="B39" s="34" t="s">
        <v>32</v>
      </c>
      <c r="C39" s="143">
        <v>195</v>
      </c>
      <c r="D39" s="18">
        <f t="shared" si="4"/>
        <v>4875</v>
      </c>
      <c r="E39" s="48">
        <f t="shared" si="0"/>
        <v>62400</v>
      </c>
      <c r="F39" s="149">
        <v>35</v>
      </c>
      <c r="G39" s="18"/>
      <c r="H39" s="50">
        <v>11796</v>
      </c>
      <c r="I39" s="19">
        <f t="shared" si="2"/>
        <v>60.492307692307691</v>
      </c>
      <c r="J39" s="53">
        <f t="shared" si="6"/>
        <v>44474.492307692308</v>
      </c>
      <c r="K39" s="159"/>
      <c r="L39" s="159"/>
      <c r="M39" s="115"/>
      <c r="N39" s="86"/>
      <c r="O39" s="67">
        <f>(H39+K39)/C39</f>
        <v>60.492307692307691</v>
      </c>
      <c r="P39" s="118">
        <f>IF(M39&lt;J39,1,0)</f>
        <v>1</v>
      </c>
      <c r="Q39" s="53"/>
      <c r="R39" s="154"/>
      <c r="S39" s="235"/>
      <c r="T39" s="17">
        <f t="shared" si="8"/>
        <v>44474.492307692308</v>
      </c>
      <c r="U39" s="22">
        <f t="shared" si="3"/>
        <v>44439.492307692308</v>
      </c>
    </row>
    <row r="40" spans="1:25" ht="15.75" thickBot="1">
      <c r="A40" s="280"/>
      <c r="B40" s="68" t="s">
        <v>43</v>
      </c>
      <c r="C40" s="139">
        <v>580</v>
      </c>
      <c r="D40" s="28">
        <f t="shared" si="4"/>
        <v>14500</v>
      </c>
      <c r="E40" s="69">
        <f t="shared" si="0"/>
        <v>185600</v>
      </c>
      <c r="F40" s="145">
        <v>35</v>
      </c>
      <c r="G40" s="28">
        <f>0.85*C40*F40</f>
        <v>17255</v>
      </c>
      <c r="H40" s="51">
        <v>20267</v>
      </c>
      <c r="I40" s="29">
        <f t="shared" si="2"/>
        <v>34.943103448275863</v>
      </c>
      <c r="J40" s="54">
        <f t="shared" si="6"/>
        <v>44448.943103448277</v>
      </c>
      <c r="K40" s="160"/>
      <c r="L40" s="161"/>
      <c r="M40" s="162"/>
      <c r="N40" s="86"/>
      <c r="O40" s="31">
        <f>(H40+K40)/C40</f>
        <v>34.943103448275863</v>
      </c>
      <c r="P40" s="94">
        <f>IF(M40&lt;J40,1,0)</f>
        <v>1</v>
      </c>
      <c r="Q40" s="53"/>
      <c r="R40" s="154"/>
      <c r="S40" s="235"/>
      <c r="T40" s="17">
        <f t="shared" si="8"/>
        <v>44448.943103448277</v>
      </c>
      <c r="U40" s="22">
        <f t="shared" si="3"/>
        <v>44413.943103448277</v>
      </c>
    </row>
    <row r="41" spans="1:25" ht="15.75" hidden="1" customHeight="1">
      <c r="A41" s="281" t="s">
        <v>33</v>
      </c>
      <c r="B41" s="63" t="s">
        <v>34</v>
      </c>
      <c r="C41" s="144">
        <v>0</v>
      </c>
      <c r="D41" s="13">
        <f t="shared" ref="D41:D45" si="10">+C41*26</f>
        <v>0</v>
      </c>
      <c r="E41" s="13">
        <f t="shared" si="0"/>
        <v>0</v>
      </c>
      <c r="F41" s="150">
        <v>25</v>
      </c>
      <c r="G41" s="13">
        <f>C41*F41</f>
        <v>0</v>
      </c>
      <c r="H41" s="52"/>
      <c r="I41" s="14" t="e">
        <f t="shared" si="2"/>
        <v>#DIV/0!</v>
      </c>
      <c r="J41" s="55" t="e">
        <f t="shared" si="6"/>
        <v>#DIV/0!</v>
      </c>
      <c r="K41" s="15"/>
      <c r="L41" s="15"/>
      <c r="M41" s="15"/>
      <c r="N41" s="86" t="e">
        <f t="shared" ref="N41:N45" si="11">+M41+(K41/$C$13)+IF((J41-M41)&gt;0,(J41-M41)*7/6,IF((J41-M41)&lt;0,0))</f>
        <v>#DIV/0!</v>
      </c>
      <c r="O41" s="16" t="e">
        <f t="shared" ref="O41:O45" si="12">(H41+J41)/C41</f>
        <v>#DIV/0!</v>
      </c>
      <c r="P41" s="98"/>
      <c r="Q41" s="15"/>
      <c r="R41" s="154"/>
      <c r="S41" s="235"/>
      <c r="T41" s="17" t="e">
        <f t="shared" si="8"/>
        <v>#DIV/0!</v>
      </c>
      <c r="U41" s="22" t="e">
        <f t="shared" si="3"/>
        <v>#DIV/0!</v>
      </c>
    </row>
    <row r="42" spans="1:25" ht="15.75" hidden="1" customHeight="1">
      <c r="A42" s="278"/>
      <c r="B42" s="35" t="s">
        <v>35</v>
      </c>
      <c r="C42" s="143">
        <v>0</v>
      </c>
      <c r="D42" s="18">
        <f t="shared" si="10"/>
        <v>0</v>
      </c>
      <c r="E42" s="18">
        <f t="shared" si="0"/>
        <v>0</v>
      </c>
      <c r="F42" s="149"/>
      <c r="G42" s="18">
        <f>C42*F42</f>
        <v>0</v>
      </c>
      <c r="H42" s="50"/>
      <c r="I42" s="19" t="e">
        <f t="shared" si="2"/>
        <v>#DIV/0!</v>
      </c>
      <c r="J42" s="53" t="e">
        <f t="shared" si="6"/>
        <v>#DIV/0!</v>
      </c>
      <c r="K42" s="20"/>
      <c r="L42" s="20"/>
      <c r="M42" s="20"/>
      <c r="N42" s="86" t="e">
        <f t="shared" si="11"/>
        <v>#DIV/0!</v>
      </c>
      <c r="O42" s="21" t="e">
        <f t="shared" si="12"/>
        <v>#DIV/0!</v>
      </c>
      <c r="P42" s="97"/>
      <c r="Q42" s="20"/>
      <c r="R42" s="154"/>
      <c r="S42" s="235"/>
      <c r="T42" s="17" t="e">
        <f t="shared" si="8"/>
        <v>#DIV/0!</v>
      </c>
      <c r="U42" s="22" t="e">
        <f t="shared" si="3"/>
        <v>#DIV/0!</v>
      </c>
    </row>
    <row r="43" spans="1:25" ht="15.75" hidden="1" customHeight="1">
      <c r="A43" s="279"/>
      <c r="B43" s="35" t="s">
        <v>36</v>
      </c>
      <c r="C43" s="143">
        <v>0</v>
      </c>
      <c r="D43" s="18">
        <f t="shared" si="10"/>
        <v>0</v>
      </c>
      <c r="E43" s="18">
        <f t="shared" si="0"/>
        <v>0</v>
      </c>
      <c r="F43" s="149"/>
      <c r="G43" s="18">
        <f>C43*F43</f>
        <v>0</v>
      </c>
      <c r="H43" s="50"/>
      <c r="I43" s="19" t="e">
        <f t="shared" si="2"/>
        <v>#DIV/0!</v>
      </c>
      <c r="J43" s="53" t="e">
        <f t="shared" si="6"/>
        <v>#DIV/0!</v>
      </c>
      <c r="K43" s="20"/>
      <c r="L43" s="20"/>
      <c r="M43" s="20"/>
      <c r="N43" s="86" t="e">
        <f t="shared" si="11"/>
        <v>#DIV/0!</v>
      </c>
      <c r="O43" s="21" t="e">
        <f t="shared" si="12"/>
        <v>#DIV/0!</v>
      </c>
      <c r="P43" s="97"/>
      <c r="Q43" s="20"/>
      <c r="R43" s="154"/>
      <c r="S43" s="235"/>
      <c r="T43" s="17" t="e">
        <f t="shared" si="8"/>
        <v>#DIV/0!</v>
      </c>
      <c r="U43" s="22" t="e">
        <f t="shared" si="3"/>
        <v>#DIV/0!</v>
      </c>
    </row>
    <row r="44" spans="1:25" ht="15.75" hidden="1" customHeight="1">
      <c r="A44" s="282" t="s">
        <v>37</v>
      </c>
      <c r="B44" s="283"/>
      <c r="C44" s="143">
        <v>0</v>
      </c>
      <c r="D44" s="18">
        <f t="shared" si="10"/>
        <v>0</v>
      </c>
      <c r="E44" s="18">
        <f t="shared" si="0"/>
        <v>0</v>
      </c>
      <c r="F44" s="149">
        <f>7*5</f>
        <v>35</v>
      </c>
      <c r="G44" s="18">
        <f>C44*F44</f>
        <v>0</v>
      </c>
      <c r="H44" s="50"/>
      <c r="I44" s="19" t="e">
        <f t="shared" si="2"/>
        <v>#DIV/0!</v>
      </c>
      <c r="J44" s="53" t="e">
        <f t="shared" si="6"/>
        <v>#DIV/0!</v>
      </c>
      <c r="K44" s="20"/>
      <c r="L44" s="20"/>
      <c r="M44" s="20"/>
      <c r="N44" s="86" t="e">
        <f t="shared" si="11"/>
        <v>#DIV/0!</v>
      </c>
      <c r="O44" s="21" t="e">
        <f t="shared" si="12"/>
        <v>#DIV/0!</v>
      </c>
      <c r="P44" s="97"/>
      <c r="Q44" s="20"/>
      <c r="R44" s="154"/>
      <c r="S44" s="235"/>
      <c r="T44" s="17" t="e">
        <f t="shared" si="8"/>
        <v>#DIV/0!</v>
      </c>
      <c r="U44" s="22" t="e">
        <f t="shared" si="3"/>
        <v>#DIV/0!</v>
      </c>
    </row>
    <row r="45" spans="1:25" ht="15.75" hidden="1" customHeight="1">
      <c r="A45" s="284" t="s">
        <v>38</v>
      </c>
      <c r="B45" s="285"/>
      <c r="C45" s="139">
        <v>0</v>
      </c>
      <c r="D45" s="28">
        <f t="shared" si="10"/>
        <v>0</v>
      </c>
      <c r="E45" s="28">
        <f t="shared" si="0"/>
        <v>0</v>
      </c>
      <c r="F45" s="145"/>
      <c r="G45" s="28">
        <f>+F44*C45</f>
        <v>0</v>
      </c>
      <c r="H45" s="51"/>
      <c r="I45" s="29" t="e">
        <f t="shared" si="2"/>
        <v>#DIV/0!</v>
      </c>
      <c r="J45" s="54" t="e">
        <f t="shared" si="6"/>
        <v>#DIV/0!</v>
      </c>
      <c r="K45" s="30"/>
      <c r="L45" s="30"/>
      <c r="M45" s="30"/>
      <c r="N45" s="86" t="e">
        <f t="shared" si="11"/>
        <v>#DIV/0!</v>
      </c>
      <c r="O45" s="36" t="e">
        <f t="shared" si="12"/>
        <v>#DIV/0!</v>
      </c>
      <c r="P45" s="94"/>
      <c r="Q45" s="30"/>
      <c r="R45" s="154"/>
      <c r="S45" s="235"/>
      <c r="T45" s="17" t="e">
        <f t="shared" si="8"/>
        <v>#DIV/0!</v>
      </c>
      <c r="U45" s="37" t="e">
        <f t="shared" si="3"/>
        <v>#DIV/0!</v>
      </c>
    </row>
    <row r="46" spans="1:25" ht="15.75" thickBot="1">
      <c r="A46" s="286" t="s">
        <v>39</v>
      </c>
      <c r="B46" s="287"/>
      <c r="C46" s="142">
        <v>2.85</v>
      </c>
      <c r="D46" s="71">
        <f>+C46*25</f>
        <v>71.25</v>
      </c>
      <c r="E46" s="71">
        <f t="shared" si="0"/>
        <v>912</v>
      </c>
      <c r="F46" s="148">
        <v>35</v>
      </c>
      <c r="G46" s="108">
        <f>+F46*C46</f>
        <v>99.75</v>
      </c>
      <c r="H46" s="109">
        <v>1680</v>
      </c>
      <c r="I46" s="73">
        <f>+H46/C46</f>
        <v>589.47368421052624</v>
      </c>
      <c r="J46" s="74">
        <f t="shared" si="6"/>
        <v>45003.473684210527</v>
      </c>
      <c r="K46" s="72"/>
      <c r="L46" s="72"/>
      <c r="M46" s="72"/>
      <c r="N46" s="72"/>
      <c r="O46" s="109">
        <f>(H46+K46)/C46</f>
        <v>589.47368421052624</v>
      </c>
      <c r="P46" s="96"/>
      <c r="Q46" s="72"/>
      <c r="R46" s="154"/>
      <c r="S46" s="236"/>
      <c r="T46" s="38">
        <f t="shared" si="8"/>
        <v>45003.473684210527</v>
      </c>
      <c r="U46" s="37">
        <f t="shared" si="3"/>
        <v>44968.473684210527</v>
      </c>
    </row>
    <row r="47" spans="1:25" s="47" customFormat="1" ht="14.25" customHeight="1" thickBot="1">
      <c r="A47" s="40"/>
      <c r="B47" s="41"/>
      <c r="C47" s="39"/>
      <c r="D47" s="39"/>
      <c r="E47" s="39"/>
      <c r="F47" s="42"/>
      <c r="G47" s="39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/>
      <c r="S47" s="45"/>
      <c r="T47" s="46"/>
      <c r="U47" s="46"/>
    </row>
    <row r="48" spans="1:25" ht="15.75" thickBot="1">
      <c r="A48" s="267" t="s">
        <v>40</v>
      </c>
      <c r="B48" s="270" t="s">
        <v>20</v>
      </c>
      <c r="C48" s="295">
        <v>4600</v>
      </c>
      <c r="D48" s="225">
        <f>+C48*25</f>
        <v>115000</v>
      </c>
      <c r="E48" s="71"/>
      <c r="F48" s="295">
        <v>21</v>
      </c>
      <c r="G48" s="71">
        <f>0.85*C48*F48</f>
        <v>82110</v>
      </c>
      <c r="H48" s="228">
        <v>20625</v>
      </c>
      <c r="I48" s="228">
        <f>+H48/C48</f>
        <v>4.4836956521739131</v>
      </c>
      <c r="J48" s="231">
        <f>+$S$6+I48</f>
        <v>44418.483695652176</v>
      </c>
      <c r="K48" s="85">
        <v>22000</v>
      </c>
      <c r="L48" s="85" t="s">
        <v>61</v>
      </c>
      <c r="M48" s="86"/>
      <c r="N48" s="86"/>
      <c r="O48" s="228">
        <f>(H48+K48+K49+K50)/C48</f>
        <v>9.2663043478260878</v>
      </c>
      <c r="P48" s="86"/>
      <c r="Q48" s="86"/>
      <c r="R48" s="154"/>
      <c r="S48" s="291">
        <v>44144</v>
      </c>
      <c r="T48" s="17">
        <f>+$S$6+O48</f>
        <v>44423.266304347824</v>
      </c>
      <c r="U48" s="22">
        <f>+T48-F48</f>
        <v>44402.266304347824</v>
      </c>
      <c r="V48" s="32"/>
      <c r="W48" s="32"/>
      <c r="Y48" s="32"/>
    </row>
    <row r="49" spans="1:25" ht="15.75" thickBot="1">
      <c r="A49" s="268"/>
      <c r="B49" s="271"/>
      <c r="C49" s="296"/>
      <c r="D49" s="226"/>
      <c r="E49" s="88"/>
      <c r="F49" s="296"/>
      <c r="G49" s="88"/>
      <c r="H49" s="229"/>
      <c r="I49" s="229"/>
      <c r="J49" s="232"/>
      <c r="K49" s="104"/>
      <c r="L49" s="104"/>
      <c r="M49" s="87"/>
      <c r="N49" s="87"/>
      <c r="O49" s="229"/>
      <c r="P49" s="87"/>
      <c r="Q49" s="105"/>
      <c r="R49" s="154"/>
      <c r="S49" s="292"/>
      <c r="T49" s="17"/>
      <c r="U49" s="22"/>
      <c r="V49" s="32"/>
      <c r="W49" s="32"/>
      <c r="Y49" s="32"/>
    </row>
    <row r="50" spans="1:25" ht="15.75" thickBot="1">
      <c r="A50" s="268"/>
      <c r="B50" s="272"/>
      <c r="C50" s="297"/>
      <c r="D50" s="227"/>
      <c r="E50" s="71"/>
      <c r="F50" s="297"/>
      <c r="G50" s="71"/>
      <c r="H50" s="230"/>
      <c r="I50" s="230"/>
      <c r="J50" s="233"/>
      <c r="K50" s="102"/>
      <c r="L50" s="58"/>
      <c r="M50" s="103"/>
      <c r="N50" s="87"/>
      <c r="O50" s="230"/>
      <c r="P50" s="87"/>
      <c r="Q50" s="103"/>
      <c r="R50" s="154"/>
      <c r="S50" s="292"/>
      <c r="T50" s="17"/>
      <c r="U50" s="22"/>
      <c r="V50" s="32"/>
      <c r="W50" s="32"/>
      <c r="Y50" s="32"/>
    </row>
    <row r="51" spans="1:25" ht="15.75" thickBot="1">
      <c r="A51" s="268"/>
      <c r="B51" s="270" t="s">
        <v>21</v>
      </c>
      <c r="C51" s="295">
        <v>3000</v>
      </c>
      <c r="D51" s="225">
        <f>+C51*25</f>
        <v>75000</v>
      </c>
      <c r="E51" s="88"/>
      <c r="F51" s="295">
        <f>15+3+7</f>
        <v>25</v>
      </c>
      <c r="G51" s="88">
        <f>0.85*C51*F51</f>
        <v>63750</v>
      </c>
      <c r="H51" s="228">
        <v>55650</v>
      </c>
      <c r="I51" s="228">
        <f>+H51/C51</f>
        <v>18.55</v>
      </c>
      <c r="J51" s="231">
        <f>+$S$6+I51</f>
        <v>44432.55</v>
      </c>
      <c r="K51" s="204">
        <v>104000</v>
      </c>
      <c r="L51" s="85" t="s">
        <v>62</v>
      </c>
      <c r="M51" s="86"/>
      <c r="N51" s="86"/>
      <c r="O51" s="228">
        <f>(H51+K51)/C51</f>
        <v>53.216666666666669</v>
      </c>
      <c r="P51" s="86"/>
      <c r="Q51" s="66"/>
      <c r="R51" s="154"/>
      <c r="S51" s="293"/>
      <c r="T51" s="17">
        <f>+$S$6+O51</f>
        <v>44467.216666666667</v>
      </c>
      <c r="U51" s="22">
        <f>+T51-F51</f>
        <v>44442.216666666667</v>
      </c>
      <c r="W51" s="32"/>
      <c r="Y51" s="32"/>
    </row>
    <row r="52" spans="1:25" ht="15.75" thickBot="1">
      <c r="A52" s="268"/>
      <c r="B52" s="271"/>
      <c r="C52" s="296"/>
      <c r="D52" s="226"/>
      <c r="E52" s="88"/>
      <c r="F52" s="296"/>
      <c r="G52" s="88"/>
      <c r="H52" s="229"/>
      <c r="I52" s="229"/>
      <c r="J52" s="232"/>
      <c r="K52" s="206"/>
      <c r="L52" s="104"/>
      <c r="M52" s="87"/>
      <c r="N52" s="87"/>
      <c r="O52" s="229"/>
      <c r="P52" s="87"/>
      <c r="Q52" s="89"/>
      <c r="R52" s="154"/>
      <c r="S52" s="293"/>
      <c r="T52" s="135"/>
      <c r="U52" s="22"/>
      <c r="W52" s="32"/>
      <c r="Y52" s="32"/>
    </row>
    <row r="53" spans="1:25" ht="15.75" thickBot="1">
      <c r="A53" s="268"/>
      <c r="B53" s="272"/>
      <c r="C53" s="297"/>
      <c r="D53" s="227"/>
      <c r="E53" s="88"/>
      <c r="F53" s="297"/>
      <c r="G53" s="88"/>
      <c r="H53" s="230"/>
      <c r="I53" s="230"/>
      <c r="J53" s="233"/>
      <c r="K53" s="102"/>
      <c r="L53" s="104"/>
      <c r="M53" s="103"/>
      <c r="N53" s="87"/>
      <c r="O53" s="230"/>
      <c r="P53" s="87"/>
      <c r="Q53" s="89"/>
      <c r="R53" s="154"/>
      <c r="S53" s="293"/>
      <c r="T53" s="135"/>
      <c r="U53" s="22"/>
      <c r="W53" s="32"/>
      <c r="Y53" s="32"/>
    </row>
    <row r="54" spans="1:25" ht="15.75" thickBot="1">
      <c r="A54" s="268"/>
      <c r="B54" s="270" t="s">
        <v>22</v>
      </c>
      <c r="C54" s="295">
        <v>2300</v>
      </c>
      <c r="D54" s="225">
        <f>+C54*25</f>
        <v>57500</v>
      </c>
      <c r="E54" s="23"/>
      <c r="F54" s="295">
        <v>25</v>
      </c>
      <c r="G54" s="23"/>
      <c r="H54" s="228">
        <v>118000</v>
      </c>
      <c r="I54" s="228">
        <f>H54/C54</f>
        <v>51.304347826086953</v>
      </c>
      <c r="J54" s="231">
        <f>+$S$6+I54</f>
        <v>44465.304347826088</v>
      </c>
      <c r="K54" s="174"/>
      <c r="L54" s="179"/>
      <c r="M54" s="177"/>
      <c r="N54" s="86"/>
      <c r="O54" s="228">
        <f>(H54+K54)/C54</f>
        <v>51.304347826086953</v>
      </c>
      <c r="P54" s="86"/>
      <c r="Q54" s="86"/>
      <c r="R54" s="154"/>
      <c r="S54" s="293"/>
      <c r="T54" s="237">
        <f>+$S$6+O54</f>
        <v>44465.304347826088</v>
      </c>
      <c r="U54" s="22">
        <f>+T54-F51</f>
        <v>44440.304347826088</v>
      </c>
      <c r="W54" s="32"/>
      <c r="Y54" s="32"/>
    </row>
    <row r="55" spans="1:25" ht="15.75" thickBot="1">
      <c r="A55" s="268"/>
      <c r="B55" s="271"/>
      <c r="C55" s="296"/>
      <c r="D55" s="226"/>
      <c r="E55" s="76"/>
      <c r="F55" s="296"/>
      <c r="G55" s="76"/>
      <c r="H55" s="229"/>
      <c r="I55" s="229"/>
      <c r="J55" s="232"/>
      <c r="K55" s="180"/>
      <c r="L55" s="180"/>
      <c r="M55" s="177"/>
      <c r="N55" s="101"/>
      <c r="O55" s="229"/>
      <c r="P55" s="101"/>
      <c r="Q55" s="87"/>
      <c r="R55" s="154"/>
      <c r="S55" s="293"/>
      <c r="T55" s="238"/>
      <c r="U55" s="22"/>
      <c r="W55" s="32"/>
      <c r="Y55" s="32"/>
    </row>
    <row r="56" spans="1:25" ht="15.75" thickBot="1">
      <c r="A56" s="268"/>
      <c r="B56" s="271"/>
      <c r="C56" s="296"/>
      <c r="D56" s="226"/>
      <c r="E56" s="110"/>
      <c r="F56" s="296"/>
      <c r="G56" s="110">
        <f>0.85*C54*F54</f>
        <v>48875</v>
      </c>
      <c r="H56" s="229"/>
      <c r="I56" s="229"/>
      <c r="J56" s="232"/>
      <c r="K56" s="175"/>
      <c r="L56" s="181"/>
      <c r="M56" s="178"/>
      <c r="N56" s="87"/>
      <c r="O56" s="230"/>
      <c r="P56" s="87"/>
      <c r="Q56" s="87"/>
      <c r="R56" s="154"/>
      <c r="S56" s="293"/>
      <c r="T56" s="239"/>
      <c r="U56" s="22"/>
    </row>
    <row r="57" spans="1:25" ht="15.75" thickBot="1">
      <c r="A57" s="269"/>
      <c r="B57" s="99" t="s">
        <v>23</v>
      </c>
      <c r="C57" s="70">
        <v>200</v>
      </c>
      <c r="D57" s="71">
        <f>+C57*25</f>
        <v>5000</v>
      </c>
      <c r="E57" s="71"/>
      <c r="F57" s="70">
        <f>21+7</f>
        <v>28</v>
      </c>
      <c r="G57" s="71">
        <f>0.85*C57*F57</f>
        <v>4760</v>
      </c>
      <c r="H57" s="73">
        <v>12880</v>
      </c>
      <c r="I57" s="73">
        <f>+H57/C57</f>
        <v>64.400000000000006</v>
      </c>
      <c r="J57" s="74">
        <f>+$S$6+I57</f>
        <v>44478.400000000001</v>
      </c>
      <c r="K57" s="176"/>
      <c r="L57" s="72"/>
      <c r="M57" s="100"/>
      <c r="N57" s="111"/>
      <c r="O57" s="73">
        <f>(H57+K57)/C57</f>
        <v>64.400000000000006</v>
      </c>
      <c r="P57" s="96"/>
      <c r="Q57" s="111"/>
      <c r="R57" s="154"/>
      <c r="S57" s="294"/>
      <c r="T57" s="38">
        <f>+$S$6+O57</f>
        <v>44478.400000000001</v>
      </c>
      <c r="U57" s="37">
        <f>+T57-F57</f>
        <v>44450.400000000001</v>
      </c>
    </row>
    <row r="59" spans="1:25">
      <c r="D59" s="39"/>
      <c r="E59" s="39"/>
      <c r="J59" s="32"/>
      <c r="M59" s="32"/>
    </row>
    <row r="60" spans="1:25">
      <c r="H60" s="119"/>
      <c r="M60" s="32"/>
    </row>
    <row r="61" spans="1:25">
      <c r="L61" s="32"/>
    </row>
    <row r="63" spans="1:25">
      <c r="K63" s="1"/>
    </row>
  </sheetData>
  <mergeCells count="83">
    <mergeCell ref="O54:O56"/>
    <mergeCell ref="T54:T56"/>
    <mergeCell ref="O51:O53"/>
    <mergeCell ref="C54:C56"/>
    <mergeCell ref="D54:D56"/>
    <mergeCell ref="F54:F56"/>
    <mergeCell ref="H54:H56"/>
    <mergeCell ref="I54:I56"/>
    <mergeCell ref="J54:J56"/>
    <mergeCell ref="O48:O50"/>
    <mergeCell ref="S48:S57"/>
    <mergeCell ref="B51:B53"/>
    <mergeCell ref="C51:C53"/>
    <mergeCell ref="D51:D53"/>
    <mergeCell ref="F51:F53"/>
    <mergeCell ref="H51:H53"/>
    <mergeCell ref="I51:I53"/>
    <mergeCell ref="J51:J53"/>
    <mergeCell ref="B54:B56"/>
    <mergeCell ref="C48:C50"/>
    <mergeCell ref="D48:D50"/>
    <mergeCell ref="F48:F50"/>
    <mergeCell ref="H48:H50"/>
    <mergeCell ref="I48:I50"/>
    <mergeCell ref="J48:J50"/>
    <mergeCell ref="A48:A57"/>
    <mergeCell ref="B48:B50"/>
    <mergeCell ref="H23:H27"/>
    <mergeCell ref="I23:I27"/>
    <mergeCell ref="J23:J27"/>
    <mergeCell ref="A35:A40"/>
    <mergeCell ref="A41:A43"/>
    <mergeCell ref="A44:B44"/>
    <mergeCell ref="A45:B45"/>
    <mergeCell ref="A46:B46"/>
    <mergeCell ref="A31:B31"/>
    <mergeCell ref="A34:B34"/>
    <mergeCell ref="U16:U22"/>
    <mergeCell ref="B19:B21"/>
    <mergeCell ref="F19:F21"/>
    <mergeCell ref="A23:A28"/>
    <mergeCell ref="B23:B27"/>
    <mergeCell ref="C23:C27"/>
    <mergeCell ref="D23:D27"/>
    <mergeCell ref="F23:F27"/>
    <mergeCell ref="F16:F18"/>
    <mergeCell ref="G16:G22"/>
    <mergeCell ref="O23:O27"/>
    <mergeCell ref="T16:T22"/>
    <mergeCell ref="I16:I21"/>
    <mergeCell ref="H16:H21"/>
    <mergeCell ref="U13:U15"/>
    <mergeCell ref="A16:A22"/>
    <mergeCell ref="B16:B18"/>
    <mergeCell ref="C16:C21"/>
    <mergeCell ref="D16:D21"/>
    <mergeCell ref="E16:E22"/>
    <mergeCell ref="A13:B15"/>
    <mergeCell ref="C13:C15"/>
    <mergeCell ref="D13:D15"/>
    <mergeCell ref="F13:F15"/>
    <mergeCell ref="H13:H15"/>
    <mergeCell ref="J16:J21"/>
    <mergeCell ref="O16:O22"/>
    <mergeCell ref="I13:I15"/>
    <mergeCell ref="J13:J15"/>
    <mergeCell ref="O13:O15"/>
    <mergeCell ref="C4:Q4"/>
    <mergeCell ref="R4:R5"/>
    <mergeCell ref="S4:U4"/>
    <mergeCell ref="A5:B5"/>
    <mergeCell ref="A6:B12"/>
    <mergeCell ref="C6:C12"/>
    <mergeCell ref="D6:D12"/>
    <mergeCell ref="F6:F12"/>
    <mergeCell ref="H6:H12"/>
    <mergeCell ref="I6:I12"/>
    <mergeCell ref="J6:J12"/>
    <mergeCell ref="O6:O12"/>
    <mergeCell ref="S6:S46"/>
    <mergeCell ref="T6:T12"/>
    <mergeCell ref="U6:U12"/>
    <mergeCell ref="T13:T15"/>
  </mergeCells>
  <conditionalFormatting sqref="P28:P30 P36:P40 P24:P26 P13">
    <cfRule type="cellIs" dxfId="1" priority="1" operator="equal">
      <formula>0</formula>
    </cfRule>
    <cfRule type="cellIs" dxfId="0" priority="2" operator="equal">
      <formula>1</formula>
    </cfRule>
  </conditionalFormatting>
  <pageMargins left="0.19685039370078741" right="0.15748031496062992" top="0.15748031496062992" bottom="0.15748031496062992" header="0.15748031496062992" footer="0.15748031496062992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01-01-2021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</dc:creator>
  <cp:lastModifiedBy>A.AFOUKASS</cp:lastModifiedBy>
  <cp:lastPrinted>2021-08-24T10:09:28Z</cp:lastPrinted>
  <dcterms:created xsi:type="dcterms:W3CDTF">2018-12-10T10:13:24Z</dcterms:created>
  <dcterms:modified xsi:type="dcterms:W3CDTF">2021-08-24T15:24:14Z</dcterms:modified>
</cp:coreProperties>
</file>