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23415" windowHeight="9690" tabRatio="834" activeTab="2"/>
  </bookViews>
  <sheets>
    <sheet name="TRS Hebdo" sheetId="4" r:id="rId1"/>
    <sheet name="22 mai - 31 mai " sheetId="2" r:id="rId2"/>
    <sheet name="01 mai - 30 juin " sheetId="3" r:id="rId3"/>
    <sheet name="01 Juil - 16 Juil  " sheetId="8" r:id="rId4"/>
  </sheets>
  <definedNames>
    <definedName name="_xlnm.Print_Area" localSheetId="0">'TRS Hebdo'!$A$1:$Y$52</definedName>
  </definedNames>
  <calcPr calcId="124519"/>
</workbook>
</file>

<file path=xl/calcChain.xml><?xml version="1.0" encoding="utf-8"?>
<calcChain xmlns="http://schemas.openxmlformats.org/spreadsheetml/2006/main">
  <c r="K16" i="3"/>
  <c r="L16"/>
  <c r="M16"/>
  <c r="J16"/>
  <c r="E84" i="8"/>
  <c r="E83"/>
  <c r="E81"/>
  <c r="E4"/>
  <c r="T70"/>
  <c r="T66"/>
  <c r="T62"/>
  <c r="T58"/>
  <c r="T54"/>
  <c r="T50"/>
  <c r="T46"/>
  <c r="T42"/>
  <c r="T38"/>
  <c r="T34"/>
  <c r="T30"/>
  <c r="T26"/>
  <c r="T22"/>
  <c r="T18"/>
  <c r="T14"/>
  <c r="T10"/>
  <c r="S70"/>
  <c r="S66"/>
  <c r="S62"/>
  <c r="S58"/>
  <c r="S54"/>
  <c r="S50"/>
  <c r="S46"/>
  <c r="S42"/>
  <c r="S38"/>
  <c r="S34"/>
  <c r="S30"/>
  <c r="S26"/>
  <c r="S22"/>
  <c r="S18"/>
  <c r="S14"/>
  <c r="S10"/>
  <c r="E3"/>
  <c r="W75"/>
  <c r="X75"/>
  <c r="Y75"/>
  <c r="Z75"/>
  <c r="AA75"/>
  <c r="AB75"/>
  <c r="AC75"/>
  <c r="V75"/>
  <c r="K36"/>
  <c r="L36"/>
  <c r="M36"/>
  <c r="N36"/>
  <c r="J36"/>
  <c r="K34"/>
  <c r="L34"/>
  <c r="M34"/>
  <c r="N34"/>
  <c r="J34"/>
  <c r="K30"/>
  <c r="L30"/>
  <c r="M30"/>
  <c r="N30"/>
  <c r="J30"/>
  <c r="K26"/>
  <c r="L26"/>
  <c r="M26"/>
  <c r="N26"/>
  <c r="J26"/>
  <c r="K128"/>
  <c r="L128"/>
  <c r="M128"/>
  <c r="J128"/>
  <c r="K126"/>
  <c r="L126"/>
  <c r="M126"/>
  <c r="J126"/>
  <c r="J136"/>
  <c r="F158"/>
  <c r="G158"/>
  <c r="G156"/>
  <c r="L156" s="1"/>
  <c r="N154"/>
  <c r="G154"/>
  <c r="L154" s="1"/>
  <c r="N152"/>
  <c r="G152"/>
  <c r="L152" s="1"/>
  <c r="G150"/>
  <c r="M150" s="1"/>
  <c r="F148"/>
  <c r="M148" s="1"/>
  <c r="F146"/>
  <c r="M146" s="1"/>
  <c r="F144"/>
  <c r="M144" s="1"/>
  <c r="F142"/>
  <c r="M142" s="1"/>
  <c r="F140"/>
  <c r="M140" s="1"/>
  <c r="F138"/>
  <c r="M138" s="1"/>
  <c r="F136"/>
  <c r="M136" s="1"/>
  <c r="N132"/>
  <c r="M132"/>
  <c r="L132"/>
  <c r="K132"/>
  <c r="J132"/>
  <c r="N130"/>
  <c r="G130"/>
  <c r="M130" s="1"/>
  <c r="N128"/>
  <c r="G128"/>
  <c r="N126"/>
  <c r="G126"/>
  <c r="H75"/>
  <c r="E75"/>
  <c r="G70"/>
  <c r="M70" s="1"/>
  <c r="N68"/>
  <c r="G68"/>
  <c r="L68" s="1"/>
  <c r="N66"/>
  <c r="G66"/>
  <c r="L66" s="1"/>
  <c r="G64"/>
  <c r="L64" s="1"/>
  <c r="P62"/>
  <c r="M62"/>
  <c r="L62"/>
  <c r="K62"/>
  <c r="J62"/>
  <c r="M61"/>
  <c r="L61"/>
  <c r="K61"/>
  <c r="J61"/>
  <c r="N60"/>
  <c r="M60"/>
  <c r="L60"/>
  <c r="K60"/>
  <c r="J60"/>
  <c r="P58"/>
  <c r="N58"/>
  <c r="M58"/>
  <c r="L58"/>
  <c r="K58"/>
  <c r="J58"/>
  <c r="N56"/>
  <c r="M56"/>
  <c r="L56"/>
  <c r="K56"/>
  <c r="J56"/>
  <c r="P54"/>
  <c r="N54"/>
  <c r="M54"/>
  <c r="L54"/>
  <c r="K54"/>
  <c r="J54"/>
  <c r="N52"/>
  <c r="M52"/>
  <c r="L52"/>
  <c r="K52"/>
  <c r="J52"/>
  <c r="P50"/>
  <c r="N50"/>
  <c r="M50"/>
  <c r="L50"/>
  <c r="K50"/>
  <c r="J50"/>
  <c r="N48"/>
  <c r="M48"/>
  <c r="L48"/>
  <c r="K48"/>
  <c r="J48"/>
  <c r="P46"/>
  <c r="P42"/>
  <c r="N42"/>
  <c r="M42"/>
  <c r="L42"/>
  <c r="K42"/>
  <c r="J42"/>
  <c r="N40"/>
  <c r="M40"/>
  <c r="L40"/>
  <c r="K40"/>
  <c r="J40"/>
  <c r="P38"/>
  <c r="F36"/>
  <c r="F34"/>
  <c r="P34" s="1"/>
  <c r="Q34" s="1"/>
  <c r="R34" s="1"/>
  <c r="F32"/>
  <c r="N32" s="1"/>
  <c r="F30"/>
  <c r="F28"/>
  <c r="M28" s="1"/>
  <c r="F26"/>
  <c r="F24"/>
  <c r="M24" s="1"/>
  <c r="P22"/>
  <c r="N20"/>
  <c r="M20"/>
  <c r="L20"/>
  <c r="K20"/>
  <c r="J20"/>
  <c r="P18"/>
  <c r="F48" i="4"/>
  <c r="F49"/>
  <c r="T82" i="3"/>
  <c r="S82"/>
  <c r="R82"/>
  <c r="Q82"/>
  <c r="AE85" s="1"/>
  <c r="R54"/>
  <c r="Q54"/>
  <c r="T54"/>
  <c r="S54"/>
  <c r="E137"/>
  <c r="E138" s="1"/>
  <c r="E139" s="1"/>
  <c r="E4"/>
  <c r="V134"/>
  <c r="AE129"/>
  <c r="AE125"/>
  <c r="AE121"/>
  <c r="AE117"/>
  <c r="AE113"/>
  <c r="AE109"/>
  <c r="AE105"/>
  <c r="AE101"/>
  <c r="AE97"/>
  <c r="AE93"/>
  <c r="AE89"/>
  <c r="AE81"/>
  <c r="AE77"/>
  <c r="AE73"/>
  <c r="AE69"/>
  <c r="AE65"/>
  <c r="AE61"/>
  <c r="AE57"/>
  <c r="AE53"/>
  <c r="AE49"/>
  <c r="AE45"/>
  <c r="AE41"/>
  <c r="AE37"/>
  <c r="AE33"/>
  <c r="AE29"/>
  <c r="AE25"/>
  <c r="AE21"/>
  <c r="AE17"/>
  <c r="AE13"/>
  <c r="E3"/>
  <c r="V53" i="2"/>
  <c r="W131" i="3"/>
  <c r="X131"/>
  <c r="Y131"/>
  <c r="Z131"/>
  <c r="AA131"/>
  <c r="AB131"/>
  <c r="AB134" s="1"/>
  <c r="AC131"/>
  <c r="V131"/>
  <c r="Q50" i="2"/>
  <c r="K49"/>
  <c r="L49"/>
  <c r="M49"/>
  <c r="N49"/>
  <c r="J49"/>
  <c r="H50"/>
  <c r="G50"/>
  <c r="F50"/>
  <c r="E50"/>
  <c r="G128" i="3"/>
  <c r="K128" s="1"/>
  <c r="G126"/>
  <c r="P126" s="1"/>
  <c r="Q126" s="1"/>
  <c r="R126" s="1"/>
  <c r="M125"/>
  <c r="L125"/>
  <c r="K125"/>
  <c r="G124"/>
  <c r="M124" s="1"/>
  <c r="M122"/>
  <c r="L122"/>
  <c r="K122"/>
  <c r="J122"/>
  <c r="M121"/>
  <c r="L121"/>
  <c r="K121"/>
  <c r="G120"/>
  <c r="L120" s="1"/>
  <c r="P114"/>
  <c r="S114" s="1"/>
  <c r="T114" s="1"/>
  <c r="P110"/>
  <c r="Q110" s="1"/>
  <c r="P106"/>
  <c r="S106" s="1"/>
  <c r="T106" s="1"/>
  <c r="N104"/>
  <c r="N129" s="1"/>
  <c r="M104"/>
  <c r="M129" s="1"/>
  <c r="L104"/>
  <c r="L129" s="1"/>
  <c r="K104"/>
  <c r="K129" s="1"/>
  <c r="J104"/>
  <c r="J129" s="1"/>
  <c r="N102"/>
  <c r="E102"/>
  <c r="P102" s="1"/>
  <c r="Q102" s="1"/>
  <c r="R102" s="1"/>
  <c r="E100"/>
  <c r="M100" s="1"/>
  <c r="E98"/>
  <c r="M98" s="1"/>
  <c r="E97"/>
  <c r="L97" s="1"/>
  <c r="N96"/>
  <c r="M96"/>
  <c r="L96"/>
  <c r="K96"/>
  <c r="J96"/>
  <c r="N94"/>
  <c r="M94"/>
  <c r="L94"/>
  <c r="K94"/>
  <c r="J94"/>
  <c r="N92"/>
  <c r="M92"/>
  <c r="L92"/>
  <c r="K92"/>
  <c r="J92"/>
  <c r="P90"/>
  <c r="Q90" s="1"/>
  <c r="N90"/>
  <c r="M90"/>
  <c r="L90"/>
  <c r="K90"/>
  <c r="J90"/>
  <c r="N88"/>
  <c r="M88"/>
  <c r="L88"/>
  <c r="K88"/>
  <c r="J88"/>
  <c r="P86"/>
  <c r="S86" s="1"/>
  <c r="T86" s="1"/>
  <c r="N86"/>
  <c r="M86"/>
  <c r="L86"/>
  <c r="K86"/>
  <c r="J86"/>
  <c r="N84"/>
  <c r="M84"/>
  <c r="L84"/>
  <c r="K84"/>
  <c r="J84"/>
  <c r="P82"/>
  <c r="P78"/>
  <c r="S78" s="1"/>
  <c r="T78" s="1"/>
  <c r="N78"/>
  <c r="M78"/>
  <c r="L78"/>
  <c r="K78"/>
  <c r="J78"/>
  <c r="N76"/>
  <c r="M76"/>
  <c r="L76"/>
  <c r="K76"/>
  <c r="J76"/>
  <c r="P74"/>
  <c r="S74" s="1"/>
  <c r="T74" s="1"/>
  <c r="N74"/>
  <c r="M74"/>
  <c r="L74"/>
  <c r="K74"/>
  <c r="J74"/>
  <c r="F73"/>
  <c r="L73" s="1"/>
  <c r="E72"/>
  <c r="K72" s="1"/>
  <c r="E70"/>
  <c r="M70" s="1"/>
  <c r="E69"/>
  <c r="K69" s="1"/>
  <c r="H68"/>
  <c r="K68" s="1"/>
  <c r="H66"/>
  <c r="K66" s="1"/>
  <c r="H65"/>
  <c r="M65" s="1"/>
  <c r="G64"/>
  <c r="M64" s="1"/>
  <c r="G62"/>
  <c r="M62" s="1"/>
  <c r="M60"/>
  <c r="L60"/>
  <c r="K60"/>
  <c r="J60"/>
  <c r="G58"/>
  <c r="M58" s="1"/>
  <c r="J56"/>
  <c r="G56"/>
  <c r="M56" s="1"/>
  <c r="P54"/>
  <c r="N50"/>
  <c r="G50"/>
  <c r="L50" s="1"/>
  <c r="N48"/>
  <c r="G48"/>
  <c r="M48" s="1"/>
  <c r="N46"/>
  <c r="M46"/>
  <c r="L46"/>
  <c r="K46"/>
  <c r="J46"/>
  <c r="M44"/>
  <c r="L44"/>
  <c r="K44"/>
  <c r="J44"/>
  <c r="G42"/>
  <c r="M42" s="1"/>
  <c r="G40"/>
  <c r="M40" s="1"/>
  <c r="G38"/>
  <c r="M38" s="1"/>
  <c r="G36"/>
  <c r="M36" s="1"/>
  <c r="G34"/>
  <c r="M34" s="1"/>
  <c r="G32"/>
  <c r="M32" s="1"/>
  <c r="G30"/>
  <c r="P30" s="1"/>
  <c r="Q30" s="1"/>
  <c r="R30" s="1"/>
  <c r="M28"/>
  <c r="L28"/>
  <c r="K28"/>
  <c r="J28"/>
  <c r="P26"/>
  <c r="S26" s="1"/>
  <c r="T26" s="1"/>
  <c r="W50" i="2"/>
  <c r="X50"/>
  <c r="Y50"/>
  <c r="Z50"/>
  <c r="AA50"/>
  <c r="V50"/>
  <c r="S45"/>
  <c r="S41"/>
  <c r="S37"/>
  <c r="S31"/>
  <c r="T31" s="1"/>
  <c r="R45"/>
  <c r="R41"/>
  <c r="R37"/>
  <c r="R31"/>
  <c r="T45"/>
  <c r="T41"/>
  <c r="T37"/>
  <c r="M48"/>
  <c r="L48"/>
  <c r="K48"/>
  <c r="J48"/>
  <c r="N47"/>
  <c r="M47"/>
  <c r="L47"/>
  <c r="K47"/>
  <c r="J47"/>
  <c r="P45"/>
  <c r="N45"/>
  <c r="M45"/>
  <c r="L45"/>
  <c r="K45"/>
  <c r="J45"/>
  <c r="N43"/>
  <c r="M43"/>
  <c r="L43"/>
  <c r="K43"/>
  <c r="J43"/>
  <c r="P41"/>
  <c r="Q41" s="1"/>
  <c r="N41"/>
  <c r="M41"/>
  <c r="L41"/>
  <c r="K41"/>
  <c r="J41"/>
  <c r="N39"/>
  <c r="M39"/>
  <c r="L39"/>
  <c r="K39"/>
  <c r="J39"/>
  <c r="P37"/>
  <c r="G12" i="8"/>
  <c r="J12" s="1"/>
  <c r="J38" s="1"/>
  <c r="K13"/>
  <c r="L13"/>
  <c r="M13"/>
  <c r="G14"/>
  <c r="J14" s="1"/>
  <c r="G10"/>
  <c r="J10" s="1"/>
  <c r="D49" i="4"/>
  <c r="AC78" i="8"/>
  <c r="J2"/>
  <c r="K2"/>
  <c r="L2"/>
  <c r="M2"/>
  <c r="G3"/>
  <c r="G4"/>
  <c r="G5"/>
  <c r="D6"/>
  <c r="G6"/>
  <c r="N10"/>
  <c r="N12"/>
  <c r="N38" s="1"/>
  <c r="N14"/>
  <c r="P14"/>
  <c r="Q14" s="1"/>
  <c r="R14" s="1"/>
  <c r="O75"/>
  <c r="U78"/>
  <c r="W78"/>
  <c r="X78"/>
  <c r="Z78"/>
  <c r="AA78"/>
  <c r="AB78"/>
  <c r="Y78"/>
  <c r="G75" l="1"/>
  <c r="L136"/>
  <c r="J138"/>
  <c r="F75"/>
  <c r="L134"/>
  <c r="L158" s="1"/>
  <c r="J130"/>
  <c r="L130"/>
  <c r="N134"/>
  <c r="N136"/>
  <c r="L138"/>
  <c r="N138"/>
  <c r="J140"/>
  <c r="L140"/>
  <c r="N140"/>
  <c r="J142"/>
  <c r="L142"/>
  <c r="N142"/>
  <c r="J144"/>
  <c r="L144"/>
  <c r="N144"/>
  <c r="J146"/>
  <c r="L146"/>
  <c r="N146"/>
  <c r="J148"/>
  <c r="L148"/>
  <c r="N148"/>
  <c r="J150"/>
  <c r="L150"/>
  <c r="K152"/>
  <c r="M152"/>
  <c r="K154"/>
  <c r="M154"/>
  <c r="K156"/>
  <c r="M156"/>
  <c r="K130"/>
  <c r="K136"/>
  <c r="K138"/>
  <c r="K140"/>
  <c r="K142"/>
  <c r="K144"/>
  <c r="K146"/>
  <c r="K148"/>
  <c r="K150"/>
  <c r="J152"/>
  <c r="J154"/>
  <c r="J156"/>
  <c r="M12"/>
  <c r="J22"/>
  <c r="N22"/>
  <c r="L24"/>
  <c r="J28"/>
  <c r="N28"/>
  <c r="P10"/>
  <c r="Q22"/>
  <c r="Q38"/>
  <c r="R38" s="1"/>
  <c r="Q46"/>
  <c r="R46" s="1"/>
  <c r="Q58"/>
  <c r="R58" s="1"/>
  <c r="Q54"/>
  <c r="R54" s="1"/>
  <c r="J24"/>
  <c r="N24"/>
  <c r="L28"/>
  <c r="Q18"/>
  <c r="R18" s="1"/>
  <c r="Q42"/>
  <c r="Q50"/>
  <c r="R50" s="1"/>
  <c r="Q62"/>
  <c r="R62" s="1"/>
  <c r="K64"/>
  <c r="M64"/>
  <c r="K66"/>
  <c r="M66"/>
  <c r="P66"/>
  <c r="Q66" s="1"/>
  <c r="R66" s="1"/>
  <c r="K68"/>
  <c r="M68"/>
  <c r="J70"/>
  <c r="L70"/>
  <c r="P70"/>
  <c r="Q70" s="1"/>
  <c r="J64"/>
  <c r="J66"/>
  <c r="J68"/>
  <c r="K70"/>
  <c r="U23"/>
  <c r="P26"/>
  <c r="Q26" s="1"/>
  <c r="R26" s="1"/>
  <c r="P30"/>
  <c r="Q30" s="1"/>
  <c r="R30" s="1"/>
  <c r="K32"/>
  <c r="M32"/>
  <c r="U39"/>
  <c r="AE41"/>
  <c r="K24"/>
  <c r="K28"/>
  <c r="J32"/>
  <c r="L32"/>
  <c r="K10"/>
  <c r="M10"/>
  <c r="L10"/>
  <c r="L12"/>
  <c r="L14"/>
  <c r="K14"/>
  <c r="M14"/>
  <c r="AC134" i="3"/>
  <c r="J102"/>
  <c r="E131"/>
  <c r="J66"/>
  <c r="L66"/>
  <c r="J68"/>
  <c r="L68"/>
  <c r="J69"/>
  <c r="L69"/>
  <c r="J70"/>
  <c r="K70"/>
  <c r="J72"/>
  <c r="L72"/>
  <c r="J73"/>
  <c r="M73"/>
  <c r="K73"/>
  <c r="M97"/>
  <c r="K97"/>
  <c r="M126"/>
  <c r="K126"/>
  <c r="L128"/>
  <c r="S102"/>
  <c r="T102" s="1"/>
  <c r="S110"/>
  <c r="T110" s="1"/>
  <c r="S126"/>
  <c r="T126" s="1"/>
  <c r="J40"/>
  <c r="P122"/>
  <c r="S122" s="1"/>
  <c r="T122" s="1"/>
  <c r="H131"/>
  <c r="J65"/>
  <c r="M66"/>
  <c r="M68"/>
  <c r="M69"/>
  <c r="L70"/>
  <c r="M72"/>
  <c r="N73"/>
  <c r="J97"/>
  <c r="J126"/>
  <c r="L126"/>
  <c r="J128"/>
  <c r="M128"/>
  <c r="S30"/>
  <c r="T30" s="1"/>
  <c r="R110"/>
  <c r="R90"/>
  <c r="L40"/>
  <c r="J42"/>
  <c r="P42"/>
  <c r="S42" s="1"/>
  <c r="T42" s="1"/>
  <c r="P46"/>
  <c r="S46" s="1"/>
  <c r="T46" s="1"/>
  <c r="J50"/>
  <c r="L56"/>
  <c r="J58"/>
  <c r="P58"/>
  <c r="S58" s="1"/>
  <c r="T58" s="1"/>
  <c r="J62"/>
  <c r="P62"/>
  <c r="S62" s="1"/>
  <c r="T62" s="1"/>
  <c r="J64"/>
  <c r="S90"/>
  <c r="T90" s="1"/>
  <c r="L100"/>
  <c r="L124"/>
  <c r="Q26"/>
  <c r="R26" s="1"/>
  <c r="Q74"/>
  <c r="R74" s="1"/>
  <c r="Q106"/>
  <c r="R106" s="1"/>
  <c r="Q114"/>
  <c r="R114" s="1"/>
  <c r="Q122"/>
  <c r="L42"/>
  <c r="L58"/>
  <c r="L62"/>
  <c r="L64"/>
  <c r="J100"/>
  <c r="L102"/>
  <c r="J124"/>
  <c r="Q78"/>
  <c r="R78" s="1"/>
  <c r="Q86"/>
  <c r="R86" s="1"/>
  <c r="U111"/>
  <c r="K120"/>
  <c r="M120"/>
  <c r="U123"/>
  <c r="P118"/>
  <c r="J120"/>
  <c r="K124"/>
  <c r="P94"/>
  <c r="J98"/>
  <c r="L98"/>
  <c r="P98"/>
  <c r="K100"/>
  <c r="K102"/>
  <c r="M102"/>
  <c r="U83"/>
  <c r="K98"/>
  <c r="K56"/>
  <c r="K58"/>
  <c r="K62"/>
  <c r="K64"/>
  <c r="L65"/>
  <c r="P66"/>
  <c r="P70"/>
  <c r="U55"/>
  <c r="K65"/>
  <c r="K30"/>
  <c r="M30"/>
  <c r="J32"/>
  <c r="L32"/>
  <c r="J34"/>
  <c r="L34"/>
  <c r="P34"/>
  <c r="J36"/>
  <c r="L36"/>
  <c r="J38"/>
  <c r="L38"/>
  <c r="P38"/>
  <c r="K40"/>
  <c r="K42"/>
  <c r="J48"/>
  <c r="L48"/>
  <c r="K50"/>
  <c r="M50"/>
  <c r="P50"/>
  <c r="J30"/>
  <c r="L30"/>
  <c r="K32"/>
  <c r="K34"/>
  <c r="K36"/>
  <c r="K38"/>
  <c r="K48"/>
  <c r="Q37" i="2"/>
  <c r="Q45"/>
  <c r="U42"/>
  <c r="AC44"/>
  <c r="K12" i="8"/>
  <c r="AE17"/>
  <c r="E76"/>
  <c r="E82"/>
  <c r="V78"/>
  <c r="N74" l="1"/>
  <c r="J74"/>
  <c r="Q10"/>
  <c r="J134"/>
  <c r="J158" s="1"/>
  <c r="K134"/>
  <c r="K158" s="1"/>
  <c r="M134"/>
  <c r="M158" s="1"/>
  <c r="K22"/>
  <c r="K38"/>
  <c r="K74" s="1"/>
  <c r="R22"/>
  <c r="AE25"/>
  <c r="M22"/>
  <c r="M38"/>
  <c r="L38"/>
  <c r="L22"/>
  <c r="L74" s="1"/>
  <c r="AE65"/>
  <c r="U63"/>
  <c r="AE57"/>
  <c r="AE53"/>
  <c r="U51"/>
  <c r="AE61"/>
  <c r="U59"/>
  <c r="AE49"/>
  <c r="U47"/>
  <c r="AE45"/>
  <c r="R42"/>
  <c r="R70" s="1"/>
  <c r="AE21"/>
  <c r="U19"/>
  <c r="AE37"/>
  <c r="U35"/>
  <c r="Q38" i="3"/>
  <c r="R38" s="1"/>
  <c r="S38"/>
  <c r="T38" s="1"/>
  <c r="Q70"/>
  <c r="R70" s="1"/>
  <c r="S70"/>
  <c r="T70" s="1"/>
  <c r="Q98"/>
  <c r="R98" s="1"/>
  <c r="S98"/>
  <c r="T98" s="1"/>
  <c r="Q118"/>
  <c r="S118"/>
  <c r="T118" s="1"/>
  <c r="Q50"/>
  <c r="R50" s="1"/>
  <c r="S50"/>
  <c r="T50" s="1"/>
  <c r="Q34"/>
  <c r="R34" s="1"/>
  <c r="S34"/>
  <c r="T34" s="1"/>
  <c r="Q66"/>
  <c r="R66" s="1"/>
  <c r="S66"/>
  <c r="T66" s="1"/>
  <c r="Q94"/>
  <c r="R94" s="1"/>
  <c r="S94"/>
  <c r="T94" s="1"/>
  <c r="Q42"/>
  <c r="R42" s="1"/>
  <c r="R122"/>
  <c r="Q62"/>
  <c r="R62" s="1"/>
  <c r="Q58"/>
  <c r="R58" s="1"/>
  <c r="Q46"/>
  <c r="R46" s="1"/>
  <c r="U115"/>
  <c r="U127"/>
  <c r="U87"/>
  <c r="U103"/>
  <c r="U75"/>
  <c r="U59"/>
  <c r="U47"/>
  <c r="U27"/>
  <c r="U43"/>
  <c r="U31"/>
  <c r="AC40" i="2"/>
  <c r="U38"/>
  <c r="AC48"/>
  <c r="P81" i="8"/>
  <c r="M74" l="1"/>
  <c r="R10"/>
  <c r="U11"/>
  <c r="U75" s="1"/>
  <c r="Q75"/>
  <c r="AE13"/>
  <c r="AE73"/>
  <c r="U67"/>
  <c r="AE69"/>
  <c r="AE29"/>
  <c r="U31"/>
  <c r="AE33"/>
  <c r="R118" i="3"/>
  <c r="Q131"/>
  <c r="AE131"/>
  <c r="U95"/>
  <c r="U99"/>
  <c r="U67"/>
  <c r="U71"/>
  <c r="U39"/>
  <c r="P82" i="8"/>
  <c r="P83"/>
  <c r="S77" l="1"/>
  <c r="G45" i="4"/>
  <c r="G51"/>
  <c r="G43" l="1"/>
  <c r="G44"/>
  <c r="G47"/>
  <c r="W134" i="3"/>
  <c r="F43" i="4" s="1"/>
  <c r="X134" i="3"/>
  <c r="F44" i="4" s="1"/>
  <c r="Y134" i="3"/>
  <c r="F45" i="4" s="1"/>
  <c r="Z134" i="3"/>
  <c r="F46" i="4" s="1"/>
  <c r="AA134" i="3"/>
  <c r="F47" i="4" s="1"/>
  <c r="D6" i="3"/>
  <c r="G46" i="4" l="1"/>
  <c r="X53" i="2" l="1"/>
  <c r="E44" i="4" s="1"/>
  <c r="Y53" i="2"/>
  <c r="Z53"/>
  <c r="E46" i="4" s="1"/>
  <c r="AA53" i="2" l="1"/>
  <c r="E47" i="4" s="1"/>
  <c r="G50" l="1"/>
  <c r="O131" i="3"/>
  <c r="F24"/>
  <c r="N24" s="1"/>
  <c r="F22"/>
  <c r="P22" s="1"/>
  <c r="F20"/>
  <c r="N20" s="1"/>
  <c r="P18"/>
  <c r="N18"/>
  <c r="M18"/>
  <c r="L18"/>
  <c r="K18"/>
  <c r="J18"/>
  <c r="F17"/>
  <c r="F131" s="1"/>
  <c r="G16"/>
  <c r="G14"/>
  <c r="G131" s="1"/>
  <c r="M12"/>
  <c r="L12"/>
  <c r="K12"/>
  <c r="J12"/>
  <c r="P10"/>
  <c r="S10" s="1"/>
  <c r="T10" s="1"/>
  <c r="M10"/>
  <c r="L10"/>
  <c r="K10"/>
  <c r="J10"/>
  <c r="G6"/>
  <c r="G5"/>
  <c r="G4"/>
  <c r="G3"/>
  <c r="M2"/>
  <c r="L2"/>
  <c r="K2"/>
  <c r="J2"/>
  <c r="J2" i="2"/>
  <c r="K2"/>
  <c r="L2"/>
  <c r="M2"/>
  <c r="G3"/>
  <c r="G4"/>
  <c r="G5"/>
  <c r="G6"/>
  <c r="J10"/>
  <c r="K10"/>
  <c r="L10"/>
  <c r="M10"/>
  <c r="N10"/>
  <c r="P10"/>
  <c r="Q10" s="1"/>
  <c r="AC13" s="1"/>
  <c r="J12"/>
  <c r="K12"/>
  <c r="L12"/>
  <c r="M12"/>
  <c r="N12"/>
  <c r="J14"/>
  <c r="K14"/>
  <c r="L14"/>
  <c r="M14"/>
  <c r="N14"/>
  <c r="P14"/>
  <c r="Q14" s="1"/>
  <c r="AC17" s="1"/>
  <c r="J16"/>
  <c r="K16"/>
  <c r="L16"/>
  <c r="M16"/>
  <c r="N16"/>
  <c r="J18"/>
  <c r="K18"/>
  <c r="L18"/>
  <c r="M18"/>
  <c r="N18"/>
  <c r="F20"/>
  <c r="P18" s="1"/>
  <c r="K20"/>
  <c r="M20"/>
  <c r="F22"/>
  <c r="J22" s="1"/>
  <c r="K22"/>
  <c r="M22"/>
  <c r="F24"/>
  <c r="J24" s="1"/>
  <c r="M24"/>
  <c r="J26"/>
  <c r="K26"/>
  <c r="L26"/>
  <c r="M26"/>
  <c r="N26"/>
  <c r="J27"/>
  <c r="K27"/>
  <c r="L27"/>
  <c r="M27"/>
  <c r="N27"/>
  <c r="H29"/>
  <c r="K29" s="1"/>
  <c r="M29"/>
  <c r="E30"/>
  <c r="J30" s="1"/>
  <c r="M30"/>
  <c r="E31"/>
  <c r="J31" s="1"/>
  <c r="M31"/>
  <c r="N31"/>
  <c r="E33"/>
  <c r="P31" s="1"/>
  <c r="Q31" s="1"/>
  <c r="K33"/>
  <c r="L33"/>
  <c r="M33"/>
  <c r="N33"/>
  <c r="J34"/>
  <c r="K34"/>
  <c r="L34"/>
  <c r="M34"/>
  <c r="Q35"/>
  <c r="R35" s="1"/>
  <c r="S35"/>
  <c r="T35" s="1"/>
  <c r="O50"/>
  <c r="Q22" i="3" l="1"/>
  <c r="R22" s="1"/>
  <c r="S22"/>
  <c r="T22" s="1"/>
  <c r="N17"/>
  <c r="N130" s="1"/>
  <c r="P14"/>
  <c r="J17"/>
  <c r="Q10"/>
  <c r="L17"/>
  <c r="J22"/>
  <c r="N22"/>
  <c r="S18"/>
  <c r="T18" s="1"/>
  <c r="Q18"/>
  <c r="U134"/>
  <c r="F50" i="4"/>
  <c r="K138" i="3"/>
  <c r="L22"/>
  <c r="K24" i="2"/>
  <c r="N22"/>
  <c r="L22"/>
  <c r="N20"/>
  <c r="L20"/>
  <c r="J20"/>
  <c r="K31"/>
  <c r="S10"/>
  <c r="T10" s="1"/>
  <c r="U53"/>
  <c r="R10"/>
  <c r="E58"/>
  <c r="E59" s="1"/>
  <c r="W53"/>
  <c r="E43" i="4" s="1"/>
  <c r="E45"/>
  <c r="L31" i="2"/>
  <c r="E50" i="4"/>
  <c r="K137" i="3"/>
  <c r="K30" i="2"/>
  <c r="U11"/>
  <c r="E51"/>
  <c r="E51" i="4" s="1"/>
  <c r="L30" i="2"/>
  <c r="N29"/>
  <c r="P27"/>
  <c r="S27" s="1"/>
  <c r="T27" s="1"/>
  <c r="S14"/>
  <c r="T14" s="1"/>
  <c r="S14" i="3"/>
  <c r="T14" s="1"/>
  <c r="Q14"/>
  <c r="U11"/>
  <c r="K14"/>
  <c r="K130" s="1"/>
  <c r="M14"/>
  <c r="M130" s="1"/>
  <c r="K20"/>
  <c r="M20"/>
  <c r="K24"/>
  <c r="M24"/>
  <c r="E132"/>
  <c r="F51" i="4" s="1"/>
  <c r="R10" i="3"/>
  <c r="J14"/>
  <c r="J130" s="1"/>
  <c r="L14"/>
  <c r="L130" s="1"/>
  <c r="K17"/>
  <c r="M17"/>
  <c r="J20"/>
  <c r="L20"/>
  <c r="K22"/>
  <c r="M22"/>
  <c r="J24"/>
  <c r="L24"/>
  <c r="Q27" i="2"/>
  <c r="AC29" s="1"/>
  <c r="AC33"/>
  <c r="Q18"/>
  <c r="S18"/>
  <c r="T18" s="1"/>
  <c r="U15"/>
  <c r="R14"/>
  <c r="J33"/>
  <c r="L29"/>
  <c r="J29"/>
  <c r="P22"/>
  <c r="N24"/>
  <c r="L24"/>
  <c r="S133" i="3" l="1"/>
  <c r="E140"/>
  <c r="K139" s="1"/>
  <c r="J58" i="2"/>
  <c r="J57"/>
  <c r="U19" i="3"/>
  <c r="R18"/>
  <c r="R14"/>
  <c r="U15"/>
  <c r="R27" i="2"/>
  <c r="U28"/>
  <c r="Q22"/>
  <c r="AC25" s="1"/>
  <c r="S22"/>
  <c r="T22" s="1"/>
  <c r="AC21"/>
  <c r="R18"/>
  <c r="U32"/>
  <c r="F42" i="4" l="1"/>
  <c r="G42"/>
  <c r="E60" i="2"/>
  <c r="J59" s="1"/>
  <c r="S52" s="1"/>
  <c r="U131" i="3"/>
  <c r="U23" i="2"/>
  <c r="R22"/>
  <c r="R51" s="1"/>
  <c r="E42" i="4" l="1"/>
</calcChain>
</file>

<file path=xl/sharedStrings.xml><?xml version="1.0" encoding="utf-8"?>
<sst xmlns="http://schemas.openxmlformats.org/spreadsheetml/2006/main" count="521" uniqueCount="105">
  <si>
    <t>Date</t>
  </si>
  <si>
    <t>Poste</t>
  </si>
  <si>
    <t>nom</t>
  </si>
  <si>
    <t>Type de Matière</t>
  </si>
  <si>
    <t>Consommation MP</t>
  </si>
  <si>
    <t>Remarque</t>
  </si>
  <si>
    <t>PVC Isolat°</t>
  </si>
  <si>
    <t>PVC Gris</t>
  </si>
  <si>
    <t>PVC Gainage</t>
  </si>
  <si>
    <t>PVC Bourrage</t>
  </si>
  <si>
    <t>Résine</t>
  </si>
  <si>
    <t xml:space="preserve">Charge </t>
  </si>
  <si>
    <t>DOP</t>
  </si>
  <si>
    <t>Stab.</t>
  </si>
  <si>
    <t>Color Gris</t>
  </si>
  <si>
    <t>Lundi</t>
  </si>
  <si>
    <t>19h à 07h</t>
  </si>
  <si>
    <t>Mustapha +      El Bache</t>
  </si>
  <si>
    <t>Démarrage</t>
  </si>
  <si>
    <t>07h à 19h</t>
  </si>
  <si>
    <t>Abdelali</t>
  </si>
  <si>
    <t>Mardi</t>
  </si>
  <si>
    <t>Abdelali  +  Abd El Oaffaq</t>
  </si>
  <si>
    <t>Mercredi</t>
  </si>
  <si>
    <t>Jeudi</t>
  </si>
  <si>
    <t>Vendredi</t>
  </si>
  <si>
    <t>Samedi</t>
  </si>
  <si>
    <t>Essai : Changement de formule pour PVC isolation</t>
  </si>
  <si>
    <t>Dimanche</t>
  </si>
  <si>
    <t>heures</t>
  </si>
  <si>
    <t>Total Prod</t>
  </si>
  <si>
    <t>Problème de dégazage                                            Nettoyage de la tête</t>
  </si>
  <si>
    <t>Blocage de matière au niveau de balance par un morceau de plastique</t>
  </si>
  <si>
    <t>Non-TRS</t>
  </si>
  <si>
    <t xml:space="preserve">TRS </t>
  </si>
  <si>
    <r>
      <rPr>
        <b/>
        <u/>
        <sz val="16"/>
        <color theme="1"/>
        <rFont val="Calibri"/>
        <family val="2"/>
      </rPr>
      <t>Σ</t>
    </r>
    <r>
      <rPr>
        <b/>
        <u/>
        <sz val="16"/>
        <color theme="1"/>
        <rFont val="Calibri"/>
        <family val="2"/>
        <scheme val="minor"/>
      </rPr>
      <t xml:space="preserve"> :</t>
    </r>
  </si>
  <si>
    <t>Σ :</t>
  </si>
  <si>
    <t>40 tr/min au lieu de 45 tr/min</t>
  </si>
  <si>
    <t xml:space="preserve">Pb de pompe de dégazage +                                  changement de filtre de pompe </t>
  </si>
  <si>
    <t>Sous-Vitesse</t>
  </si>
  <si>
    <t>planifié</t>
  </si>
  <si>
    <t>Technique</t>
  </si>
  <si>
    <t>%</t>
  </si>
  <si>
    <t>Prod</t>
  </si>
  <si>
    <t>performance</t>
  </si>
  <si>
    <t>Prod/j</t>
  </si>
  <si>
    <t>Ecart</t>
  </si>
  <si>
    <t>TRS (%)</t>
  </si>
  <si>
    <t xml:space="preserve">Temps </t>
  </si>
  <si>
    <r>
      <rPr>
        <b/>
        <sz val="16"/>
        <color theme="1"/>
        <rFont val="Calibri"/>
        <family val="2"/>
      </rPr>
      <t>Σ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</si>
  <si>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Démarrage : préparation de la machine + Netoyage de la tête </t>
  </si>
  <si>
    <t>Manque big-bag vide</t>
  </si>
  <si>
    <t>Rupture d'électricilté + Problème de pression (nettoyage de la tête)</t>
  </si>
  <si>
    <t xml:space="preserve">Problème de turbine de pompe de dégazage </t>
  </si>
  <si>
    <t>Arrêt pour même problème</t>
  </si>
  <si>
    <t>Réparation et montage de la pompe + Changement de référence</t>
  </si>
  <si>
    <t>Nettoyage chambre dégazage</t>
  </si>
  <si>
    <t>Changement de référence</t>
  </si>
  <si>
    <t>Arrêt : Nettoyage de la tête + Nettoyage de poste</t>
  </si>
  <si>
    <t>TRS</t>
  </si>
  <si>
    <r>
      <rPr>
        <b/>
        <sz val="12"/>
        <color theme="1"/>
        <rFont val="Calibri"/>
        <family val="2"/>
        <scheme val="minor"/>
      </rPr>
      <t>Non-TRS</t>
    </r>
    <r>
      <rPr>
        <sz val="12"/>
        <color theme="1"/>
        <rFont val="Calibri"/>
        <family val="2"/>
        <scheme val="minor"/>
      </rPr>
      <t xml:space="preserve"> = Le complément entre le TRS et 100%</t>
    </r>
  </si>
  <si>
    <t>t/jour</t>
  </si>
  <si>
    <t xml:space="preserve">Cadence Objectif        : </t>
  </si>
  <si>
    <t xml:space="preserve">Temps d'ouverture    : </t>
  </si>
  <si>
    <t>h</t>
  </si>
  <si>
    <t xml:space="preserve">Temps Total                : </t>
  </si>
  <si>
    <t>T.Net</t>
  </si>
  <si>
    <t>T.foctionnement</t>
  </si>
  <si>
    <t>T disponibilité</t>
  </si>
  <si>
    <t>T performance</t>
  </si>
  <si>
    <t>T Utile</t>
  </si>
  <si>
    <t>Démarrage : préparation de la machine</t>
  </si>
  <si>
    <t>Pb de flexible d'aspiration</t>
  </si>
  <si>
    <t>Manque big-bag</t>
  </si>
  <si>
    <t>Manque Matière</t>
  </si>
  <si>
    <t>Panne</t>
  </si>
  <si>
    <t>Maque colorant gris</t>
  </si>
  <si>
    <t xml:space="preserve"> Netoyage de la tête </t>
  </si>
  <si>
    <t>Vitesse réduite</t>
  </si>
  <si>
    <t>t/poste</t>
  </si>
  <si>
    <t>Surstock</t>
  </si>
  <si>
    <t>Manque d'espace pour stock(Nettoyage de poste)</t>
  </si>
  <si>
    <t>Rendement (T)</t>
  </si>
  <si>
    <t>Manque d'espace pour stock</t>
  </si>
  <si>
    <t>Problème sur flexible d'aspiration (silo)</t>
  </si>
  <si>
    <t>Arrêt pour l'Aïd</t>
  </si>
  <si>
    <t>Nettoyage général</t>
  </si>
  <si>
    <t>Arrêt pour l'Aid</t>
  </si>
  <si>
    <t>T.Requis</t>
  </si>
  <si>
    <t>T Qualité</t>
  </si>
  <si>
    <t>Opérateur Absent</t>
  </si>
  <si>
    <t>Préparation + Nettoyage de la tête</t>
  </si>
  <si>
    <t>Manque 2 Opérateurs</t>
  </si>
  <si>
    <t>Mustapha</t>
  </si>
  <si>
    <t>Abdelali  +  El Bache</t>
  </si>
  <si>
    <r>
      <t xml:space="preserve">Tableau de bord CPVC 2                     </t>
    </r>
    <r>
      <rPr>
        <b/>
        <sz val="16"/>
        <color theme="1"/>
        <rFont val="Arial Black"/>
        <family val="2"/>
      </rPr>
      <t xml:space="preserve"> (26 Juin - 02 Juil)</t>
    </r>
  </si>
  <si>
    <t>Arrêt pour l’Aid</t>
  </si>
  <si>
    <t>Manque d'espace</t>
  </si>
  <si>
    <t xml:space="preserve">Manque de la résine </t>
  </si>
  <si>
    <t>Préparation démarrage</t>
  </si>
  <si>
    <t>Nettoyage de la tête</t>
  </si>
  <si>
    <t>Week-end</t>
  </si>
  <si>
    <t>22 mai-31 mai</t>
  </si>
  <si>
    <t>01 Juin -30 juin</t>
  </si>
  <si>
    <t>01 juil -16 juil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</si>
</sst>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0.0%"/>
    <numFmt numFmtId="165" formatCode="0.0"/>
    <numFmt numFmtId="166" formatCode="0.000"/>
    <numFmt numFmtId="167" formatCode="_-* #,##0\ _€_-;\-* #,##0\ _€_-;_-* &quot;-&quot;??\ _€_-;_-@_-"/>
    <numFmt numFmtId="168" formatCode="0.0000%"/>
    <numFmt numFmtId="169" formatCode="0.000000%"/>
    <numFmt numFmtId="170" formatCode="0.0000000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rgb="FF666666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Arial Black"/>
      <family val="2"/>
    </font>
    <font>
      <b/>
      <u/>
      <sz val="20"/>
      <color theme="1"/>
      <name val="Arial Black"/>
      <family val="2"/>
    </font>
    <font>
      <b/>
      <sz val="16"/>
      <color theme="1"/>
      <name val="Arial Black"/>
      <family val="2"/>
    </font>
    <font>
      <sz val="20"/>
      <color theme="1"/>
      <name val="Arial Black"/>
      <family val="2"/>
    </font>
    <font>
      <sz val="22"/>
      <color theme="1"/>
      <name val="Arial Black"/>
      <family val="2"/>
    </font>
    <font>
      <sz val="24"/>
      <color theme="1"/>
      <name val="Arial Black"/>
      <family val="2"/>
    </font>
    <font>
      <sz val="26"/>
      <color theme="1"/>
      <name val="Arial Black"/>
      <family val="2"/>
    </font>
    <font>
      <b/>
      <sz val="22"/>
      <color theme="1"/>
      <name val="Arial Black"/>
      <family val="2"/>
    </font>
    <font>
      <b/>
      <sz val="12"/>
      <color theme="0"/>
      <name val="Calibri"/>
      <family val="2"/>
      <scheme val="minor"/>
    </font>
    <font>
      <sz val="28"/>
      <color theme="1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45608"/>
        <bgColor indexed="64"/>
      </patternFill>
    </fill>
    <fill>
      <patternFill patternType="solid">
        <fgColor rgb="FF9738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thin">
        <color indexed="64"/>
      </right>
      <top style="double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7">
    <xf numFmtId="0" fontId="0" fillId="0" borderId="0" xfId="0"/>
    <xf numFmtId="9" fontId="0" fillId="2" borderId="0" xfId="2" applyFont="1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9" fontId="0" fillId="0" borderId="0" xfId="0" applyNumberFormat="1" applyAlignment="1">
      <alignment horizontal="center" vertical="center"/>
    </xf>
    <xf numFmtId="10" fontId="0" fillId="4" borderId="0" xfId="2" applyNumberFormat="1" applyFont="1" applyFill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3" fillId="6" borderId="0" xfId="2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7" borderId="3" xfId="0" applyFill="1" applyBorder="1"/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5" xfId="0" applyFill="1" applyBorder="1"/>
    <xf numFmtId="0" fontId="6" fillId="8" borderId="11" xfId="0" applyFont="1" applyFill="1" applyBorder="1" applyAlignment="1">
      <alignment horizontal="center" vertical="center"/>
    </xf>
    <xf numFmtId="0" fontId="0" fillId="3" borderId="8" xfId="0" applyFill="1" applyBorder="1"/>
    <xf numFmtId="0" fontId="0" fillId="4" borderId="12" xfId="0" applyFill="1" applyBorder="1" applyAlignment="1">
      <alignment horizontal="center"/>
    </xf>
    <xf numFmtId="0" fontId="0" fillId="3" borderId="13" xfId="0" applyFill="1" applyBorder="1"/>
    <xf numFmtId="0" fontId="0" fillId="0" borderId="10" xfId="1" applyNumberFormat="1" applyFont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0" fillId="3" borderId="6" xfId="0" applyFill="1" applyBorder="1"/>
    <xf numFmtId="0" fontId="0" fillId="2" borderId="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6" fillId="8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 applyAlignme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" fontId="0" fillId="0" borderId="0" xfId="0" applyNumberFormat="1"/>
    <xf numFmtId="0" fontId="2" fillId="0" borderId="0" xfId="0" applyFont="1"/>
    <xf numFmtId="164" fontId="0" fillId="0" borderId="0" xfId="2" applyNumberFormat="1" applyFont="1" applyAlignment="1">
      <alignment horizontal="center"/>
    </xf>
    <xf numFmtId="164" fontId="13" fillId="10" borderId="0" xfId="0" applyNumberFormat="1" applyFont="1" applyFill="1" applyAlignment="1">
      <alignment vertical="center"/>
    </xf>
    <xf numFmtId="164" fontId="14" fillId="10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9" fontId="8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0" fillId="12" borderId="12" xfId="0" applyNumberFormat="1" applyFill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13" borderId="1" xfId="0" applyFill="1" applyBorder="1" applyAlignment="1">
      <alignment vertical="center"/>
    </xf>
    <xf numFmtId="1" fontId="0" fillId="12" borderId="4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1" applyNumberFormat="1" applyFont="1" applyBorder="1" applyAlignment="1">
      <alignment horizontal="left" vertical="center" wrapText="1"/>
    </xf>
    <xf numFmtId="1" fontId="0" fillId="0" borderId="2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2" borderId="10" xfId="1" applyNumberFormat="1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165" fontId="0" fillId="13" borderId="23" xfId="0" applyNumberForma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1" fontId="0" fillId="0" borderId="5" xfId="2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1" fontId="0" fillId="12" borderId="27" xfId="0" applyNumberFormat="1" applyFill="1" applyBorder="1" applyAlignment="1">
      <alignment horizontal="center" vertical="center"/>
    </xf>
    <xf numFmtId="1" fontId="0" fillId="13" borderId="23" xfId="0" applyNumberFormat="1" applyFill="1" applyBorder="1" applyAlignment="1">
      <alignment horizontal="center" vertical="center"/>
    </xf>
    <xf numFmtId="0" fontId="0" fillId="0" borderId="14" xfId="1" applyNumberFormat="1" applyFont="1" applyBorder="1" applyAlignment="1">
      <alignment horizontal="left" vertical="center"/>
    </xf>
    <xf numFmtId="10" fontId="0" fillId="0" borderId="5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12" borderId="10" xfId="1" applyNumberFormat="1" applyFont="1" applyFill="1" applyBorder="1" applyAlignment="1">
      <alignment horizontal="left" vertical="center"/>
    </xf>
    <xf numFmtId="165" fontId="0" fillId="12" borderId="12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" fontId="0" fillId="12" borderId="29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vertical="center" wrapText="1"/>
    </xf>
    <xf numFmtId="1" fontId="0" fillId="14" borderId="2" xfId="0" applyNumberForma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164" fontId="20" fillId="10" borderId="6" xfId="2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10" fontId="3" fillId="6" borderId="0" xfId="2" applyNumberFormat="1" applyFont="1" applyFill="1" applyAlignment="1">
      <alignment horizontal="center" vertical="center" wrapText="1"/>
    </xf>
    <xf numFmtId="10" fontId="0" fillId="5" borderId="0" xfId="2" applyNumberFormat="1" applyFont="1" applyFill="1" applyAlignment="1">
      <alignment horizontal="center" vertical="center" wrapText="1"/>
    </xf>
    <xf numFmtId="10" fontId="0" fillId="4" borderId="0" xfId="2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6" borderId="0" xfId="0" applyFont="1" applyFill="1" applyAlignment="1"/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ill="1" applyAlignment="1"/>
    <xf numFmtId="10" fontId="0" fillId="0" borderId="0" xfId="2" applyNumberFormat="1" applyFont="1" applyFill="1" applyAlignment="1">
      <alignment horizontal="center"/>
    </xf>
    <xf numFmtId="0" fontId="0" fillId="4" borderId="0" xfId="0" applyFill="1" applyAlignment="1"/>
    <xf numFmtId="166" fontId="0" fillId="0" borderId="0" xfId="0" applyNumberFormat="1" applyAlignment="1">
      <alignment horizontal="center" vertical="center"/>
    </xf>
    <xf numFmtId="0" fontId="0" fillId="2" borderId="0" xfId="0" applyFill="1" applyAlignment="1"/>
    <xf numFmtId="0" fontId="0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0" fillId="8" borderId="5" xfId="0" applyFont="1" applyFill="1" applyBorder="1"/>
    <xf numFmtId="1" fontId="0" fillId="0" borderId="2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24" xfId="0" applyNumberFormat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12" borderId="3" xfId="2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3" borderId="32" xfId="0" applyFill="1" applyBorder="1"/>
    <xf numFmtId="0" fontId="0" fillId="0" borderId="10" xfId="0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6" fillId="5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6" fillId="0" borderId="0" xfId="0" applyFont="1" applyFill="1" applyBorder="1" applyAlignment="1">
      <alignment horizontal="right" wrapText="1"/>
    </xf>
    <xf numFmtId="167" fontId="0" fillId="0" borderId="0" xfId="1" applyNumberFormat="1" applyFont="1" applyAlignment="1">
      <alignment horizontal="center" vertical="center"/>
    </xf>
    <xf numFmtId="170" fontId="0" fillId="0" borderId="0" xfId="2" applyNumberFormat="1" applyFont="1" applyAlignment="1">
      <alignment horizontal="center"/>
    </xf>
    <xf numFmtId="170" fontId="0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0" fontId="27" fillId="0" borderId="0" xfId="0" applyFont="1"/>
    <xf numFmtId="9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0" fillId="17" borderId="10" xfId="1" applyNumberFormat="1" applyFont="1" applyFill="1" applyBorder="1" applyAlignment="1">
      <alignment horizontal="left" vertical="center"/>
    </xf>
    <xf numFmtId="165" fontId="0" fillId="16" borderId="12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9" fillId="14" borderId="31" xfId="0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/>
    </xf>
    <xf numFmtId="0" fontId="19" fillId="15" borderId="30" xfId="0" applyFont="1" applyFill="1" applyBorder="1" applyAlignment="1">
      <alignment horizontal="center" vertical="center" wrapText="1"/>
    </xf>
    <xf numFmtId="0" fontId="19" fillId="13" borderId="30" xfId="0" applyFont="1" applyFill="1" applyBorder="1" applyAlignment="1">
      <alignment horizontal="center" vertical="center" wrapText="1"/>
    </xf>
    <xf numFmtId="0" fontId="19" fillId="16" borderId="30" xfId="0" applyFont="1" applyFill="1" applyBorder="1" applyAlignment="1">
      <alignment horizontal="center" vertical="center" wrapText="1"/>
    </xf>
    <xf numFmtId="0" fontId="19" fillId="17" borderId="29" xfId="0" applyFont="1" applyFill="1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" fontId="0" fillId="14" borderId="23" xfId="0" applyNumberFormat="1" applyFill="1" applyBorder="1" applyAlignment="1">
      <alignment horizontal="center" vertical="center"/>
    </xf>
    <xf numFmtId="1" fontId="0" fillId="14" borderId="4" xfId="0" applyNumberFormat="1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 vertical="center"/>
    </xf>
    <xf numFmtId="1" fontId="0" fillId="0" borderId="29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left"/>
    </xf>
    <xf numFmtId="0" fontId="25" fillId="15" borderId="3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/>
    </xf>
    <xf numFmtId="0" fontId="0" fillId="13" borderId="0" xfId="0" applyFill="1" applyAlignment="1">
      <alignment vertical="center"/>
    </xf>
    <xf numFmtId="0" fontId="0" fillId="16" borderId="10" xfId="1" applyNumberFormat="1" applyFont="1" applyFill="1" applyBorder="1" applyAlignment="1">
      <alignment horizontal="left" vertical="center"/>
    </xf>
    <xf numFmtId="1" fontId="0" fillId="0" borderId="21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1" fontId="0" fillId="0" borderId="22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" fontId="0" fillId="14" borderId="24" xfId="0" applyNumberFormat="1" applyFill="1" applyBorder="1" applyAlignment="1">
      <alignment horizontal="center" vertical="center"/>
    </xf>
    <xf numFmtId="1" fontId="0" fillId="14" borderId="15" xfId="0" applyNumberFormat="1" applyFill="1" applyBorder="1" applyAlignment="1">
      <alignment horizontal="center" vertical="center"/>
    </xf>
    <xf numFmtId="0" fontId="0" fillId="14" borderId="14" xfId="1" applyNumberFormat="1" applyFont="1" applyFill="1" applyBorder="1" applyAlignment="1">
      <alignment horizontal="left" vertical="center" wrapText="1"/>
    </xf>
    <xf numFmtId="165" fontId="0" fillId="16" borderId="30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2" fontId="0" fillId="12" borderId="4" xfId="0" applyNumberFormat="1" applyFill="1" applyBorder="1" applyAlignment="1">
      <alignment horizontal="center" vertical="center"/>
    </xf>
    <xf numFmtId="2" fontId="0" fillId="14" borderId="25" xfId="0" applyNumberFormat="1" applyFill="1" applyBorder="1" applyAlignment="1">
      <alignment horizontal="center" vertical="center"/>
    </xf>
    <xf numFmtId="166" fontId="0" fillId="14" borderId="25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23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1" fontId="0" fillId="14" borderId="35" xfId="0" applyNumberFormat="1" applyFill="1" applyBorder="1" applyAlignment="1">
      <alignment horizontal="center" vertical="center"/>
    </xf>
    <xf numFmtId="0" fontId="0" fillId="14" borderId="14" xfId="1" applyNumberFormat="1" applyFont="1" applyFill="1" applyBorder="1" applyAlignment="1">
      <alignment horizontal="left" vertical="center"/>
    </xf>
    <xf numFmtId="1" fontId="0" fillId="0" borderId="31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left" vertical="center" wrapText="1"/>
    </xf>
    <xf numFmtId="0" fontId="19" fillId="15" borderId="1" xfId="0" applyFont="1" applyFill="1" applyBorder="1" applyAlignment="1">
      <alignment horizontal="left" vertical="center" wrapText="1"/>
    </xf>
    <xf numFmtId="1" fontId="0" fillId="0" borderId="9" xfId="0" applyNumberFormat="1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1" fontId="0" fillId="0" borderId="28" xfId="0" applyNumberFormat="1" applyFill="1" applyBorder="1" applyAlignment="1">
      <alignment vertical="center"/>
    </xf>
    <xf numFmtId="165" fontId="0" fillId="14" borderId="2" xfId="0" applyNumberForma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1" xfId="2" applyNumberFormat="1" applyFon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2" xfId="0" applyNumberForma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9" fontId="0" fillId="0" borderId="1" xfId="2" applyFont="1" applyBorder="1" applyAlignment="1">
      <alignment horizontal="center"/>
    </xf>
    <xf numFmtId="0" fontId="0" fillId="14" borderId="4" xfId="0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9" fillId="12" borderId="23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9" fontId="5" fillId="0" borderId="1" xfId="2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" fontId="0" fillId="17" borderId="4" xfId="0" applyNumberFormat="1" applyFill="1" applyBorder="1" applyAlignment="1">
      <alignment horizontal="center" vertical="center"/>
    </xf>
    <xf numFmtId="1" fontId="0" fillId="12" borderId="23" xfId="0" applyNumberForma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" fontId="0" fillId="11" borderId="23" xfId="0" applyNumberFormat="1" applyFill="1" applyBorder="1" applyAlignment="1">
      <alignment horizontal="center" vertical="center"/>
    </xf>
    <xf numFmtId="1" fontId="0" fillId="11" borderId="4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" fontId="0" fillId="14" borderId="25" xfId="0" applyNumberFormat="1" applyFill="1" applyBorder="1" applyAlignment="1">
      <alignment horizontal="center" vertical="center"/>
    </xf>
    <xf numFmtId="0" fontId="0" fillId="11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2" fontId="0" fillId="0" borderId="0" xfId="0" applyNumberFormat="1" applyAlignment="1">
      <alignment horizontal="left"/>
    </xf>
    <xf numFmtId="1" fontId="0" fillId="17" borderId="23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0" fontId="30" fillId="18" borderId="4" xfId="0" applyFont="1" applyFill="1" applyBorder="1" applyAlignment="1">
      <alignment horizontal="center" vertical="center" wrapText="1"/>
    </xf>
    <xf numFmtId="1" fontId="29" fillId="18" borderId="12" xfId="0" applyNumberFormat="1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19" fillId="11" borderId="30" xfId="0" applyFont="1" applyFill="1" applyBorder="1" applyAlignment="1">
      <alignment horizontal="left" vertical="center" wrapText="1"/>
    </xf>
    <xf numFmtId="0" fontId="19" fillId="15" borderId="30" xfId="0" applyFont="1" applyFill="1" applyBorder="1" applyAlignment="1">
      <alignment horizontal="left" vertical="center" wrapText="1"/>
    </xf>
    <xf numFmtId="0" fontId="19" fillId="13" borderId="30" xfId="0" applyFont="1" applyFill="1" applyBorder="1" applyAlignment="1">
      <alignment horizontal="left" vertical="center" wrapText="1"/>
    </xf>
    <xf numFmtId="0" fontId="19" fillId="16" borderId="30" xfId="0" applyFont="1" applyFill="1" applyBorder="1" applyAlignment="1">
      <alignment horizontal="left" vertical="center" wrapText="1"/>
    </xf>
    <xf numFmtId="0" fontId="19" fillId="12" borderId="23" xfId="0" applyFont="1" applyFill="1" applyBorder="1" applyAlignment="1">
      <alignment horizontal="left" vertical="center" wrapText="1"/>
    </xf>
    <xf numFmtId="0" fontId="19" fillId="17" borderId="4" xfId="0" applyFont="1" applyFill="1" applyBorder="1" applyAlignment="1">
      <alignment horizontal="left" vertical="center" wrapText="1"/>
    </xf>
    <xf numFmtId="0" fontId="30" fillId="18" borderId="4" xfId="0" applyFont="1" applyFill="1" applyBorder="1" applyAlignment="1">
      <alignment horizontal="left" vertical="center" wrapText="1"/>
    </xf>
    <xf numFmtId="0" fontId="19" fillId="14" borderId="31" xfId="0" applyFont="1" applyFill="1" applyBorder="1" applyAlignment="1">
      <alignment horizontal="left" vertical="center" wrapText="1"/>
    </xf>
    <xf numFmtId="164" fontId="4" fillId="14" borderId="0" xfId="2" applyNumberFormat="1" applyFont="1" applyFill="1" applyBorder="1" applyAlignment="1">
      <alignment horizontal="center" vertical="center" wrapText="1"/>
    </xf>
    <xf numFmtId="164" fontId="4" fillId="11" borderId="0" xfId="2" applyNumberFormat="1" applyFont="1" applyFill="1" applyBorder="1" applyAlignment="1">
      <alignment horizontal="center" vertical="center" wrapText="1"/>
    </xf>
    <xf numFmtId="164" fontId="4" fillId="15" borderId="0" xfId="2" applyNumberFormat="1" applyFont="1" applyFill="1" applyBorder="1" applyAlignment="1">
      <alignment horizontal="center" vertical="center" wrapText="1"/>
    </xf>
    <xf numFmtId="164" fontId="4" fillId="13" borderId="0" xfId="2" applyNumberFormat="1" applyFont="1" applyFill="1" applyBorder="1" applyAlignment="1">
      <alignment horizontal="center" vertical="center" wrapText="1"/>
    </xf>
    <xf numFmtId="164" fontId="4" fillId="16" borderId="0" xfId="2" applyNumberFormat="1" applyFont="1" applyFill="1" applyBorder="1" applyAlignment="1">
      <alignment horizontal="center" vertical="center" wrapText="1"/>
    </xf>
    <xf numFmtId="164" fontId="4" fillId="12" borderId="0" xfId="2" applyNumberFormat="1" applyFont="1" applyFill="1" applyBorder="1" applyAlignment="1">
      <alignment horizontal="center" vertical="center" wrapText="1"/>
    </xf>
    <xf numFmtId="164" fontId="4" fillId="17" borderId="0" xfId="2" applyNumberFormat="1" applyFont="1" applyFill="1" applyBorder="1" applyAlignment="1">
      <alignment horizontal="center" vertical="center" wrapText="1"/>
    </xf>
    <xf numFmtId="164" fontId="31" fillId="18" borderId="0" xfId="2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vertical="center"/>
    </xf>
    <xf numFmtId="9" fontId="0" fillId="2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9" fontId="0" fillId="4" borderId="0" xfId="2" applyNumberFormat="1" applyFont="1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9" fontId="0" fillId="5" borderId="0" xfId="2" applyNumberFormat="1" applyFont="1" applyFill="1" applyAlignment="1">
      <alignment horizontal="center"/>
    </xf>
    <xf numFmtId="164" fontId="3" fillId="6" borderId="0" xfId="2" applyNumberFormat="1" applyFont="1" applyFill="1" applyAlignment="1">
      <alignment horizontal="center"/>
    </xf>
    <xf numFmtId="168" fontId="0" fillId="0" borderId="0" xfId="2" applyNumberFormat="1" applyFont="1" applyAlignment="1">
      <alignment vertical="center"/>
    </xf>
    <xf numFmtId="0" fontId="0" fillId="3" borderId="5" xfId="0" applyFill="1" applyBorder="1" applyAlignment="1"/>
    <xf numFmtId="0" fontId="0" fillId="3" borderId="8" xfId="0" applyFill="1" applyBorder="1" applyAlignment="1"/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" fontId="29" fillId="0" borderId="12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164" fontId="0" fillId="0" borderId="0" xfId="2" applyNumberFormat="1" applyFont="1"/>
    <xf numFmtId="10" fontId="0" fillId="0" borderId="0" xfId="2" applyNumberFormat="1" applyFont="1"/>
    <xf numFmtId="0" fontId="33" fillId="0" borderId="0" xfId="0" applyFont="1" applyAlignment="1">
      <alignment vertical="center"/>
    </xf>
    <xf numFmtId="1" fontId="0" fillId="17" borderId="4" xfId="0" applyNumberFormat="1" applyFill="1" applyBorder="1" applyAlignment="1">
      <alignment horizontal="left" vertical="center"/>
    </xf>
    <xf numFmtId="2" fontId="0" fillId="17" borderId="23" xfId="0" applyNumberFormat="1" applyFill="1" applyBorder="1" applyAlignment="1">
      <alignment horizontal="center" vertical="center"/>
    </xf>
    <xf numFmtId="1" fontId="0" fillId="16" borderId="23" xfId="0" applyNumberFormat="1" applyFill="1" applyBorder="1" applyAlignment="1">
      <alignment horizontal="center" vertical="center"/>
    </xf>
    <xf numFmtId="1" fontId="0" fillId="16" borderId="4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vertical="center"/>
    </xf>
    <xf numFmtId="2" fontId="0" fillId="16" borderId="23" xfId="0" applyNumberForma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10" fontId="0" fillId="0" borderId="5" xfId="2" applyNumberFormat="1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0" borderId="4" xfId="0" applyBorder="1"/>
    <xf numFmtId="0" fontId="6" fillId="8" borderId="31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vertical="center" wrapText="1"/>
    </xf>
    <xf numFmtId="0" fontId="28" fillId="8" borderId="0" xfId="0" applyFont="1" applyFill="1" applyBorder="1" applyAlignment="1">
      <alignment vertical="center" wrapText="1"/>
    </xf>
    <xf numFmtId="165" fontId="0" fillId="0" borderId="7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vertical="center"/>
    </xf>
    <xf numFmtId="1" fontId="0" fillId="0" borderId="23" xfId="0" applyNumberFormat="1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4" borderId="14" xfId="0" applyFill="1" applyBorder="1" applyAlignment="1">
      <alignment vertical="center"/>
    </xf>
    <xf numFmtId="0" fontId="0" fillId="8" borderId="0" xfId="0" applyFont="1" applyFill="1" applyBorder="1"/>
    <xf numFmtId="0" fontId="0" fillId="2" borderId="29" xfId="0" applyFill="1" applyBorder="1" applyAlignment="1">
      <alignment horizontal="center"/>
    </xf>
    <xf numFmtId="0" fontId="19" fillId="12" borderId="30" xfId="0" applyFont="1" applyFill="1" applyBorder="1" applyAlignment="1">
      <alignment horizontal="center" vertical="center" wrapText="1"/>
    </xf>
    <xf numFmtId="0" fontId="30" fillId="18" borderId="29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9" fillId="15" borderId="23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12" xfId="0" applyBorder="1"/>
    <xf numFmtId="1" fontId="0" fillId="0" borderId="38" xfId="0" applyNumberFormat="1" applyFill="1" applyBorder="1" applyAlignment="1">
      <alignment horizontal="center" vertical="center"/>
    </xf>
    <xf numFmtId="1" fontId="0" fillId="0" borderId="35" xfId="0" applyNumberForma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5" xfId="0" applyBorder="1"/>
    <xf numFmtId="1" fontId="0" fillId="0" borderId="3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13" borderId="23" xfId="0" applyFill="1" applyBorder="1" applyAlignment="1">
      <alignment vertical="center"/>
    </xf>
    <xf numFmtId="0" fontId="0" fillId="13" borderId="4" xfId="0" applyFill="1" applyBorder="1"/>
    <xf numFmtId="0" fontId="0" fillId="14" borderId="15" xfId="0" applyFill="1" applyBorder="1"/>
    <xf numFmtId="0" fontId="0" fillId="14" borderId="14" xfId="0" applyFill="1" applyBorder="1" applyAlignment="1">
      <alignment vertical="center" wrapText="1"/>
    </xf>
    <xf numFmtId="0" fontId="0" fillId="12" borderId="4" xfId="0" applyFill="1" applyBorder="1"/>
    <xf numFmtId="0" fontId="0" fillId="17" borderId="4" xfId="0" applyFill="1" applyBorder="1"/>
    <xf numFmtId="165" fontId="0" fillId="17" borderId="23" xfId="0" applyNumberFormat="1" applyFill="1" applyBorder="1" applyAlignment="1">
      <alignment horizontal="center" vertical="center"/>
    </xf>
    <xf numFmtId="0" fontId="0" fillId="11" borderId="4" xfId="0" applyFill="1" applyBorder="1"/>
    <xf numFmtId="1" fontId="0" fillId="12" borderId="9" xfId="0" applyNumberFormat="1" applyFill="1" applyBorder="1" applyAlignment="1">
      <alignment horizontal="center" vertical="center"/>
    </xf>
    <xf numFmtId="2" fontId="0" fillId="17" borderId="21" xfId="0" applyNumberFormat="1" applyFill="1" applyBorder="1" applyAlignment="1">
      <alignment horizontal="center" vertical="center"/>
    </xf>
    <xf numFmtId="10" fontId="5" fillId="14" borderId="40" xfId="2" applyNumberFormat="1" applyFont="1" applyFill="1" applyBorder="1" applyAlignment="1">
      <alignment horizontal="center" vertical="center" wrapText="1"/>
    </xf>
    <xf numFmtId="10" fontId="5" fillId="11" borderId="40" xfId="2" applyNumberFormat="1" applyFont="1" applyFill="1" applyBorder="1" applyAlignment="1">
      <alignment horizontal="center" vertical="center" wrapText="1"/>
    </xf>
    <xf numFmtId="10" fontId="5" fillId="15" borderId="40" xfId="2" applyNumberFormat="1" applyFont="1" applyFill="1" applyBorder="1" applyAlignment="1">
      <alignment horizontal="center" vertical="center" wrapText="1"/>
    </xf>
    <xf numFmtId="10" fontId="5" fillId="13" borderId="40" xfId="2" applyNumberFormat="1" applyFont="1" applyFill="1" applyBorder="1" applyAlignment="1">
      <alignment horizontal="center" vertical="center" wrapText="1"/>
    </xf>
    <xf numFmtId="10" fontId="5" fillId="16" borderId="40" xfId="2" applyNumberFormat="1" applyFont="1" applyFill="1" applyBorder="1" applyAlignment="1">
      <alignment horizontal="center" vertical="center" wrapText="1"/>
    </xf>
    <xf numFmtId="10" fontId="5" fillId="12" borderId="40" xfId="2" applyNumberFormat="1" applyFont="1" applyFill="1" applyBorder="1" applyAlignment="1">
      <alignment horizontal="center" vertical="center" wrapText="1"/>
    </xf>
    <xf numFmtId="10" fontId="5" fillId="17" borderId="40" xfId="2" applyNumberFormat="1" applyFont="1" applyFill="1" applyBorder="1" applyAlignment="1">
      <alignment horizontal="center" vertical="center" wrapText="1"/>
    </xf>
    <xf numFmtId="10" fontId="40" fillId="18" borderId="40" xfId="2" applyNumberFormat="1" applyFont="1" applyFill="1" applyBorder="1" applyAlignment="1">
      <alignment horizontal="center" vertical="center" wrapText="1"/>
    </xf>
    <xf numFmtId="165" fontId="0" fillId="15" borderId="23" xfId="0" applyNumberFormat="1" applyFill="1" applyBorder="1" applyAlignment="1">
      <alignment horizontal="center" vertical="center"/>
    </xf>
    <xf numFmtId="1" fontId="0" fillId="15" borderId="23" xfId="0" applyNumberFormat="1" applyFill="1" applyBorder="1" applyAlignment="1">
      <alignment horizontal="center" vertical="center"/>
    </xf>
    <xf numFmtId="1" fontId="0" fillId="15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37" fillId="0" borderId="33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0" fillId="8" borderId="26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9" fontId="18" fillId="9" borderId="13" xfId="2" applyNumberFormat="1" applyFont="1" applyFill="1" applyBorder="1" applyAlignment="1">
      <alignment horizontal="center" vertical="center"/>
    </xf>
    <xf numFmtId="9" fontId="18" fillId="9" borderId="5" xfId="2" applyNumberFormat="1" applyFont="1" applyFill="1" applyBorder="1" applyAlignment="1">
      <alignment horizontal="center" vertical="center"/>
    </xf>
    <xf numFmtId="9" fontId="18" fillId="9" borderId="8" xfId="2" applyNumberFormat="1" applyFont="1" applyFill="1" applyBorder="1" applyAlignment="1">
      <alignment horizontal="center" vertical="center"/>
    </xf>
    <xf numFmtId="164" fontId="0" fillId="0" borderId="13" xfId="2" applyNumberFormat="1" applyFont="1" applyBorder="1" applyAlignment="1">
      <alignment horizontal="center" vertical="center"/>
    </xf>
    <xf numFmtId="164" fontId="0" fillId="0" borderId="5" xfId="2" applyNumberFormat="1" applyFon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10" fontId="0" fillId="0" borderId="13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13" xfId="0" applyNumberFormat="1" applyBorder="1" applyAlignment="1">
      <alignment horizontal="center" vertical="center" textRotation="45"/>
    </xf>
    <xf numFmtId="14" fontId="0" fillId="0" borderId="5" xfId="0" applyNumberFormat="1" applyBorder="1" applyAlignment="1">
      <alignment horizontal="center" vertical="center" textRotation="45"/>
    </xf>
    <xf numFmtId="14" fontId="0" fillId="0" borderId="8" xfId="0" applyNumberFormat="1" applyBorder="1" applyAlignment="1">
      <alignment horizontal="center" vertical="center" textRotation="45"/>
    </xf>
    <xf numFmtId="0" fontId="0" fillId="0" borderId="6" xfId="0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14" fontId="0" fillId="0" borderId="3" xfId="0" applyNumberFormat="1" applyBorder="1" applyAlignment="1">
      <alignment horizontal="center" vertical="center" textRotation="45"/>
    </xf>
    <xf numFmtId="0" fontId="0" fillId="8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164" fontId="18" fillId="9" borderId="3" xfId="2" applyNumberFormat="1" applyFont="1" applyFill="1" applyBorder="1" applyAlignment="1">
      <alignment horizontal="center" vertical="center"/>
    </xf>
    <xf numFmtId="164" fontId="18" fillId="9" borderId="8" xfId="2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164" fontId="14" fillId="9" borderId="0" xfId="0" applyNumberFormat="1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9" fontId="18" fillId="9" borderId="3" xfId="2" applyNumberFormat="1" applyFont="1" applyFill="1" applyBorder="1" applyAlignment="1">
      <alignment horizontal="center" vertical="center"/>
    </xf>
    <xf numFmtId="1" fontId="0" fillId="0" borderId="13" xfId="2" applyNumberFormat="1" applyFon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1" fontId="0" fillId="0" borderId="8" xfId="2" applyNumberFormat="1" applyFont="1" applyBorder="1" applyAlignment="1">
      <alignment horizontal="center" vertical="center"/>
    </xf>
    <xf numFmtId="9" fontId="0" fillId="0" borderId="13" xfId="2" applyFont="1" applyFill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3" xfId="2" applyNumberFormat="1" applyFont="1" applyBorder="1" applyAlignment="1">
      <alignment horizontal="center" vertical="center"/>
    </xf>
    <xf numFmtId="9" fontId="0" fillId="0" borderId="5" xfId="2" applyNumberFormat="1" applyFont="1" applyBorder="1" applyAlignment="1">
      <alignment horizontal="center" vertical="center"/>
    </xf>
    <xf numFmtId="9" fontId="0" fillId="0" borderId="8" xfId="2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18" fillId="9" borderId="3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0" fillId="0" borderId="1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textRotation="45"/>
    </xf>
    <xf numFmtId="14" fontId="0" fillId="0" borderId="8" xfId="0" applyNumberFormat="1" applyFill="1" applyBorder="1" applyAlignment="1">
      <alignment horizontal="center" vertical="center" textRotation="45"/>
    </xf>
    <xf numFmtId="0" fontId="0" fillId="0" borderId="5" xfId="0" applyBorder="1" applyAlignment="1">
      <alignment horizontal="left" vertical="center" wrapText="1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4" fillId="7" borderId="1" xfId="0" applyFont="1" applyFill="1" applyBorder="1" applyAlignment="1">
      <alignment horizontal="center" textRotation="45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9" fontId="0" fillId="0" borderId="13" xfId="2" applyNumberFormat="1" applyFont="1" applyBorder="1" applyAlignment="1">
      <alignment horizontal="center" vertical="center"/>
    </xf>
    <xf numFmtId="0" fontId="0" fillId="12" borderId="3" xfId="2" applyNumberFormat="1" applyFont="1" applyFill="1" applyBorder="1" applyAlignment="1">
      <alignment horizontal="left" vertical="center" wrapText="1"/>
    </xf>
    <xf numFmtId="0" fontId="0" fillId="12" borderId="8" xfId="2" applyNumberFormat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9" fontId="0" fillId="0" borderId="13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9" fillId="19" borderId="31" xfId="0" applyFont="1" applyFill="1" applyBorder="1" applyAlignment="1">
      <alignment horizontal="center" vertical="center" wrapText="1"/>
    </xf>
    <xf numFmtId="0" fontId="39" fillId="19" borderId="30" xfId="0" applyFont="1" applyFill="1" applyBorder="1" applyAlignment="1">
      <alignment horizontal="center" vertical="center" wrapText="1"/>
    </xf>
    <xf numFmtId="0" fontId="39" fillId="19" borderId="29" xfId="0" applyFont="1" applyFill="1" applyBorder="1" applyAlignment="1">
      <alignment horizontal="center" vertical="center" wrapText="1"/>
    </xf>
    <xf numFmtId="0" fontId="39" fillId="19" borderId="19" xfId="0" applyFont="1" applyFill="1" applyBorder="1" applyAlignment="1">
      <alignment horizontal="center" vertical="center" wrapText="1"/>
    </xf>
    <xf numFmtId="0" fontId="39" fillId="19" borderId="0" xfId="0" applyFont="1" applyFill="1" applyBorder="1" applyAlignment="1">
      <alignment horizontal="center" vertical="center" wrapText="1"/>
    </xf>
    <xf numFmtId="0" fontId="39" fillId="19" borderId="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41" fillId="19" borderId="19" xfId="0" applyFont="1" applyFill="1" applyBorder="1" applyAlignment="1">
      <alignment horizontal="center" vertical="center"/>
    </xf>
    <xf numFmtId="0" fontId="41" fillId="19" borderId="0" xfId="0" applyFont="1" applyFill="1" applyBorder="1" applyAlignment="1">
      <alignment horizontal="center" vertical="center"/>
    </xf>
    <xf numFmtId="0" fontId="41" fillId="19" borderId="7" xfId="0" applyFont="1" applyFill="1" applyBorder="1" applyAlignment="1">
      <alignment horizontal="center" vertical="center"/>
    </xf>
    <xf numFmtId="0" fontId="35" fillId="19" borderId="19" xfId="0" applyFont="1" applyFill="1" applyBorder="1" applyAlignment="1">
      <alignment horizontal="center" vertical="center"/>
    </xf>
    <xf numFmtId="0" fontId="35" fillId="19" borderId="0" xfId="0" applyFont="1" applyFill="1" applyBorder="1" applyAlignment="1">
      <alignment horizontal="center" vertical="center"/>
    </xf>
    <xf numFmtId="0" fontId="35" fillId="19" borderId="7" xfId="0" applyFont="1" applyFill="1" applyBorder="1" applyAlignment="1">
      <alignment horizontal="center" vertical="center"/>
    </xf>
    <xf numFmtId="0" fontId="36" fillId="19" borderId="31" xfId="0" applyFont="1" applyFill="1" applyBorder="1" applyAlignment="1">
      <alignment horizontal="center" vertical="center"/>
    </xf>
    <xf numFmtId="0" fontId="36" fillId="19" borderId="30" xfId="0" applyFont="1" applyFill="1" applyBorder="1" applyAlignment="1">
      <alignment horizontal="center" vertical="center"/>
    </xf>
    <xf numFmtId="0" fontId="36" fillId="19" borderId="29" xfId="0" applyFont="1" applyFill="1" applyBorder="1" applyAlignment="1">
      <alignment horizontal="center" vertical="center"/>
    </xf>
    <xf numFmtId="0" fontId="36" fillId="19" borderId="19" xfId="0" applyFont="1" applyFill="1" applyBorder="1" applyAlignment="1">
      <alignment horizontal="center" vertical="center"/>
    </xf>
    <xf numFmtId="0" fontId="36" fillId="19" borderId="0" xfId="0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0" fontId="36" fillId="19" borderId="38" xfId="0" applyFont="1" applyFill="1" applyBorder="1" applyAlignment="1">
      <alignment horizontal="center" vertical="center"/>
    </xf>
    <xf numFmtId="0" fontId="36" fillId="19" borderId="35" xfId="0" applyFont="1" applyFill="1" applyBorder="1" applyAlignment="1">
      <alignment horizontal="center" vertical="center"/>
    </xf>
    <xf numFmtId="0" fontId="36" fillId="19" borderId="34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14" fontId="0" fillId="0" borderId="5" xfId="0" applyNumberFormat="1" applyFill="1" applyBorder="1" applyAlignment="1">
      <alignment horizontal="center" vertical="center" textRotation="45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2" borderId="36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165" fontId="0" fillId="0" borderId="13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64" fontId="18" fillId="9" borderId="13" xfId="2" applyNumberFormat="1" applyFont="1" applyFill="1" applyBorder="1" applyAlignment="1">
      <alignment horizontal="center" vertical="center"/>
    </xf>
    <xf numFmtId="164" fontId="18" fillId="9" borderId="5" xfId="2" applyNumberFormat="1" applyFont="1" applyFill="1" applyBorder="1" applyAlignment="1">
      <alignment horizontal="center" vertical="center"/>
    </xf>
    <xf numFmtId="164" fontId="0" fillId="0" borderId="13" xfId="2" applyNumberFormat="1" applyFont="1" applyFill="1" applyBorder="1" applyAlignment="1">
      <alignment horizontal="center" vertical="center"/>
    </xf>
    <xf numFmtId="164" fontId="0" fillId="0" borderId="5" xfId="2" applyNumberFormat="1" applyFont="1" applyFill="1" applyBorder="1" applyAlignment="1">
      <alignment horizontal="center" vertical="center"/>
    </xf>
    <xf numFmtId="164" fontId="0" fillId="0" borderId="8" xfId="2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3" borderId="26" xfId="0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2" fillId="0" borderId="20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6" fillId="19" borderId="31" xfId="0" applyFont="1" applyFill="1" applyBorder="1" applyAlignment="1">
      <alignment horizontal="center" vertical="center"/>
    </xf>
    <xf numFmtId="0" fontId="6" fillId="19" borderId="30" xfId="0" applyFont="1" applyFill="1" applyBorder="1" applyAlignment="1">
      <alignment horizontal="center" vertical="center"/>
    </xf>
    <xf numFmtId="0" fontId="6" fillId="19" borderId="29" xfId="0" applyFont="1" applyFill="1" applyBorder="1" applyAlignment="1">
      <alignment horizontal="center" vertical="center"/>
    </xf>
    <xf numFmtId="0" fontId="6" fillId="19" borderId="28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6" fillId="8" borderId="32" xfId="0" applyFont="1" applyFill="1" applyBorder="1" applyAlignment="1">
      <alignment horizontal="center" vertical="center"/>
    </xf>
    <xf numFmtId="0" fontId="38" fillId="19" borderId="19" xfId="0" applyFont="1" applyFill="1" applyBorder="1" applyAlignment="1">
      <alignment horizontal="center" vertical="center"/>
    </xf>
    <xf numFmtId="0" fontId="38" fillId="19" borderId="0" xfId="0" applyFont="1" applyFill="1" applyBorder="1" applyAlignment="1">
      <alignment horizontal="center" vertical="center"/>
    </xf>
    <xf numFmtId="0" fontId="38" fillId="19" borderId="7" xfId="0" applyFont="1" applyFill="1" applyBorder="1" applyAlignment="1">
      <alignment horizontal="center" vertical="center"/>
    </xf>
    <xf numFmtId="0" fontId="38" fillId="19" borderId="38" xfId="0" applyFont="1" applyFill="1" applyBorder="1" applyAlignment="1">
      <alignment horizontal="center" vertical="center"/>
    </xf>
    <xf numFmtId="0" fontId="38" fillId="19" borderId="35" xfId="0" applyFont="1" applyFill="1" applyBorder="1" applyAlignment="1">
      <alignment horizontal="center" vertical="center"/>
    </xf>
    <xf numFmtId="0" fontId="38" fillId="19" borderId="34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10" fontId="14" fillId="9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0" fillId="5" borderId="3" xfId="1" applyNumberFormat="1" applyFont="1" applyFill="1" applyBorder="1" applyAlignment="1">
      <alignment horizontal="center"/>
    </xf>
    <xf numFmtId="167" fontId="0" fillId="5" borderId="32" xfId="1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973822"/>
      <color rgb="FFB45608"/>
      <color rgb="FFDF6B0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6"/>
  <c:chart>
    <c:title>
      <c:tx>
        <c:rich>
          <a:bodyPr/>
          <a:lstStyle/>
          <a:p>
            <a:pPr>
              <a:defRPr/>
            </a:pPr>
            <a:r>
              <a:rPr lang="fr-FR" sz="2800" u="sng"/>
              <a:t>TRS Hebdomadaire CPVC 2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'TRS Hebdo'!$D$42</c:f>
              <c:strCache>
                <c:ptCount val="1"/>
                <c:pt idx="0">
                  <c:v>TRS</c:v>
                </c:pt>
              </c:strCache>
            </c:strRef>
          </c:tx>
          <c:spPr>
            <a:solidFill>
              <a:srgbClr val="FFC000"/>
            </a:solidFill>
          </c:spPr>
          <c:dLbls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Hebdo'!$E$42:$T$42</c:f>
              <c:numCache>
                <c:formatCode>0%</c:formatCode>
                <c:ptCount val="16"/>
                <c:pt idx="0">
                  <c:v>0.66463414634146345</c:v>
                </c:pt>
                <c:pt idx="1">
                  <c:v>0.6195987654320988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'TRS Hebdo'!$D$43</c:f>
              <c:strCache>
                <c:ptCount val="1"/>
                <c:pt idx="0">
                  <c:v>planifié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Hebdo'!$E$43:$T$43</c:f>
              <c:numCache>
                <c:formatCode>0%</c:formatCode>
                <c:ptCount val="16"/>
                <c:pt idx="0" formatCode="0.0%">
                  <c:v>0</c:v>
                </c:pt>
                <c:pt idx="1">
                  <c:v>0.1111111111111111</c:v>
                </c:pt>
                <c:pt idx="2" formatCode="0.00%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'TRS Hebdo'!$D$44</c:f>
              <c:strCache>
                <c:ptCount val="1"/>
                <c:pt idx="0">
                  <c:v>Sous-Vitesse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showVal val="1"/>
            </c:dLbl>
            <c:delete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Hebdo'!$E$44:$T$44</c:f>
              <c:numCache>
                <c:formatCode>0%</c:formatCode>
                <c:ptCount val="16"/>
                <c:pt idx="0" formatCode="0.0%">
                  <c:v>2.0731707317073172E-2</c:v>
                </c:pt>
                <c:pt idx="1">
                  <c:v>3.0864197530864196E-3</c:v>
                </c:pt>
                <c:pt idx="2" formatCode="0.00%">
                  <c:v>0</c:v>
                </c:pt>
              </c:numCache>
            </c:numRef>
          </c:val>
        </c:ser>
        <c:ser>
          <c:idx val="3"/>
          <c:order val="3"/>
          <c:tx>
            <c:strRef>
              <c:f>'TRS Hebdo'!$D$45</c:f>
              <c:strCache>
                <c:ptCount val="1"/>
                <c:pt idx="0">
                  <c:v>Manque big-bag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Hebdo'!$E$45:$T$45</c:f>
              <c:numCache>
                <c:formatCode>0%</c:formatCode>
                <c:ptCount val="16"/>
                <c:pt idx="0">
                  <c:v>6.8292682926829273E-2</c:v>
                </c:pt>
                <c:pt idx="1">
                  <c:v>0.12229938271604938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'TRS Hebdo'!$D$46</c:f>
              <c:strCache>
                <c:ptCount val="1"/>
                <c:pt idx="0">
                  <c:v>Manque Matière</c:v>
                </c:pt>
              </c:strCache>
            </c:strRef>
          </c:tx>
          <c:spPr>
            <a:solidFill>
              <a:srgbClr val="B45608"/>
            </a:solidFill>
          </c:spP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Hebdo'!$E$46:$T$46</c:f>
              <c:numCache>
                <c:formatCode>0%</c:formatCode>
                <c:ptCount val="16"/>
                <c:pt idx="0">
                  <c:v>3.6585365853658534E-2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'TRS Hebdo'!$D$47</c:f>
              <c:strCache>
                <c:ptCount val="1"/>
                <c:pt idx="0">
                  <c:v>Panne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Hebdo'!$E$47:$T$47</c:f>
              <c:numCache>
                <c:formatCode>0%</c:formatCode>
                <c:ptCount val="16"/>
                <c:pt idx="0">
                  <c:v>0.16951219512195123</c:v>
                </c:pt>
                <c:pt idx="1">
                  <c:v>6.9444444444444441E-3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'TRS Hebdo'!$D$50</c:f>
              <c:strCache>
                <c:ptCount val="1"/>
                <c:pt idx="0">
                  <c:v>Technique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3"/>
                <c:pt idx="0">
                  <c:v>22 mai-31 mai</c:v>
                </c:pt>
                <c:pt idx="1">
                  <c:v>01 Juin -30 juin</c:v>
                </c:pt>
                <c:pt idx="2">
                  <c:v>01 juil -16 juil</c:v>
                </c:pt>
              </c:strCache>
            </c:strRef>
          </c:cat>
          <c:val>
            <c:numRef>
              <c:f>'TRS Hebdo'!$E$50:$T$50</c:f>
              <c:numCache>
                <c:formatCode>0%</c:formatCode>
                <c:ptCount val="16"/>
                <c:pt idx="0">
                  <c:v>4.0243902439024391E-2</c:v>
                </c:pt>
                <c:pt idx="1">
                  <c:v>2.816358024691358E-2</c:v>
                </c:pt>
                <c:pt idx="2" formatCode="0.0%">
                  <c:v>0</c:v>
                </c:pt>
              </c:numCache>
            </c:numRef>
          </c:val>
        </c:ser>
        <c:ser>
          <c:idx val="7"/>
          <c:order val="7"/>
          <c:tx>
            <c:strRef>
              <c:f>'TRS Hebdo'!$D$48</c:f>
              <c:strCache>
                <c:ptCount val="1"/>
                <c:pt idx="0">
                  <c:v>Surstock</c:v>
                </c:pt>
              </c:strCache>
            </c:strRef>
          </c:tx>
          <c:spPr>
            <a:solidFill>
              <a:srgbClr val="973822"/>
            </a:solidFill>
          </c:spPr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7"/>
              <c:delete val="1"/>
            </c:dLbl>
            <c:showVal val="1"/>
          </c:dLbls>
          <c:val>
            <c:numRef>
              <c:f>'TRS Hebdo'!$E$48:$T$48</c:f>
              <c:numCache>
                <c:formatCode>0%</c:formatCode>
                <c:ptCount val="16"/>
                <c:pt idx="0">
                  <c:v>0</c:v>
                </c:pt>
                <c:pt idx="1">
                  <c:v>9.0277777777777776E-2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'TRS Hebdo'!$D$49</c:f>
              <c:strCache>
                <c:ptCount val="1"/>
                <c:pt idx="0">
                  <c:v>Opérateur Absent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Val val="1"/>
          </c:dLbls>
          <c:val>
            <c:numRef>
              <c:f>'TRS Hebdo'!$E$49:$J$49</c:f>
              <c:numCache>
                <c:formatCode>0%</c:formatCode>
                <c:ptCount val="6"/>
                <c:pt idx="1">
                  <c:v>1.8518518518518517E-2</c:v>
                </c:pt>
              </c:numCache>
            </c:numRef>
          </c:val>
        </c:ser>
        <c:gapWidth val="75"/>
        <c:overlap val="100"/>
        <c:axId val="113271168"/>
        <c:axId val="113755648"/>
      </c:barChart>
      <c:catAx>
        <c:axId val="113271168"/>
        <c:scaling>
          <c:orientation val="minMax"/>
        </c:scaling>
        <c:axPos val="b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113755648"/>
        <c:crosses val="autoZero"/>
        <c:auto val="1"/>
        <c:lblAlgn val="ctr"/>
        <c:lblOffset val="0"/>
      </c:catAx>
      <c:valAx>
        <c:axId val="113755648"/>
        <c:scaling>
          <c:orientation val="minMax"/>
        </c:scaling>
        <c:axPos val="l"/>
        <c:majorGridlines/>
        <c:numFmt formatCode="0%" sourceLinked="1"/>
        <c:majorTickMark val="none"/>
        <c:tickLblPos val="nextTo"/>
        <c:spPr>
          <a:ln w="9525" cmpd="sng">
            <a:solidFill>
              <a:srgbClr val="FFC000"/>
            </a:solidFill>
          </a:ln>
        </c:spPr>
        <c:crossAx val="113271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</c:legend>
    <c:plotVisOnly val="1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</xdr:row>
      <xdr:rowOff>76201</xdr:rowOff>
    </xdr:from>
    <xdr:to>
      <xdr:col>24</xdr:col>
      <xdr:colOff>371476</xdr:colOff>
      <xdr:row>38</xdr:row>
      <xdr:rowOff>137583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251633</xdr:colOff>
      <xdr:row>3</xdr:row>
      <xdr:rowOff>92339</xdr:rowOff>
    </xdr:from>
    <xdr:to>
      <xdr:col>3</xdr:col>
      <xdr:colOff>821531</xdr:colOff>
      <xdr:row>5</xdr:row>
      <xdr:rowOff>44714</xdr:rowOff>
    </xdr:to>
    <xdr:sp macro="" textlink="">
      <xdr:nvSpPr>
        <xdr:cNvPr id="3" name="Rectangle à coins arrondis 2"/>
        <xdr:cNvSpPr/>
      </xdr:nvSpPr>
      <xdr:spPr>
        <a:xfrm>
          <a:off x="1787539" y="663839"/>
          <a:ext cx="569898" cy="333375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100"/>
            <a:t>Arrêt Aïd</a:t>
          </a:r>
        </a:p>
      </xdr:txBody>
    </xdr:sp>
    <xdr:clientData/>
  </xdr:twoCellAnchor>
  <xdr:twoCellAnchor>
    <xdr:from>
      <xdr:col>3</xdr:col>
      <xdr:colOff>297658</xdr:colOff>
      <xdr:row>5</xdr:row>
      <xdr:rowOff>47627</xdr:rowOff>
    </xdr:from>
    <xdr:to>
      <xdr:col>3</xdr:col>
      <xdr:colOff>690568</xdr:colOff>
      <xdr:row>16</xdr:row>
      <xdr:rowOff>214314</xdr:rowOff>
    </xdr:to>
    <xdr:cxnSp macro="">
      <xdr:nvCxnSpPr>
        <xdr:cNvPr id="5" name="Connecteur droit avec flèche 4"/>
        <xdr:cNvCxnSpPr/>
      </xdr:nvCxnSpPr>
      <xdr:spPr>
        <a:xfrm rot="16200000" flipH="1">
          <a:off x="898925" y="1934766"/>
          <a:ext cx="2262187" cy="39291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0.15667</cdr:x>
      <cdr:y>0.08276</cdr:y>
    </cdr:from>
    <cdr:to>
      <cdr:x>0.2066</cdr:x>
      <cdr:y>0.14748</cdr:y>
    </cdr:to>
    <cdr:sp macro="" textlink="">
      <cdr:nvSpPr>
        <cdr:cNvPr id="17" name="Rectangle à coins arrondis 16"/>
        <cdr:cNvSpPr/>
      </cdr:nvSpPr>
      <cdr:spPr>
        <a:xfrm xmlns:a="http://schemas.openxmlformats.org/drawingml/2006/main">
          <a:off x="2357372" y="595345"/>
          <a:ext cx="751302" cy="465546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 Résine</a:t>
          </a:r>
        </a:p>
      </cdr:txBody>
    </cdr:sp>
  </cdr:relSizeAnchor>
  <cdr:relSizeAnchor xmlns:cdr="http://schemas.openxmlformats.org/drawingml/2006/chartDrawing">
    <cdr:from>
      <cdr:x>0.16142</cdr:x>
      <cdr:y>0.14896</cdr:y>
    </cdr:from>
    <cdr:to>
      <cdr:x>0.1793</cdr:x>
      <cdr:y>0.34362</cdr:y>
    </cdr:to>
    <cdr:sp macro="" textlink="">
      <cdr:nvSpPr>
        <cdr:cNvPr id="18" name="Connecteur droit avec flèche 17"/>
        <cdr:cNvSpPr/>
      </cdr:nvSpPr>
      <cdr:spPr>
        <a:xfrm xmlns:a="http://schemas.openxmlformats.org/drawingml/2006/main" rot="16200000" flipH="1">
          <a:off x="1863301" y="1637083"/>
          <a:ext cx="1400203" cy="2691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0.09416</cdr:x>
      <cdr:y>0.10759</cdr:y>
    </cdr:from>
    <cdr:to>
      <cdr:x>0.14369</cdr:x>
      <cdr:y>0.15393</cdr:y>
    </cdr:to>
    <cdr:sp macro="" textlink="">
      <cdr:nvSpPr>
        <cdr:cNvPr id="19" name="Rectangle à coins arrondis 18"/>
        <cdr:cNvSpPr/>
      </cdr:nvSpPr>
      <cdr:spPr>
        <a:xfrm xmlns:a="http://schemas.openxmlformats.org/drawingml/2006/main">
          <a:off x="1416844" y="773906"/>
          <a:ext cx="745330" cy="333375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 big-bag</a:t>
          </a:r>
        </a:p>
      </cdr:txBody>
    </cdr:sp>
  </cdr:relSizeAnchor>
  <cdr:relSizeAnchor xmlns:cdr="http://schemas.openxmlformats.org/drawingml/2006/chartDrawing">
    <cdr:from>
      <cdr:x>0.0997</cdr:x>
      <cdr:y>0.15393</cdr:y>
    </cdr:from>
    <cdr:to>
      <cdr:x>0.11758</cdr:x>
      <cdr:y>0.34859</cdr:y>
    </cdr:to>
    <cdr:sp macro="" textlink="">
      <cdr:nvSpPr>
        <cdr:cNvPr id="20" name="Connecteur droit avec flèche 19"/>
        <cdr:cNvSpPr/>
      </cdr:nvSpPr>
      <cdr:spPr>
        <a:xfrm xmlns:a="http://schemas.openxmlformats.org/drawingml/2006/main" rot="16200000" flipH="1">
          <a:off x="934642" y="1672828"/>
          <a:ext cx="1400203" cy="2691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0.10524</cdr:x>
      <cdr:y>0.15724</cdr:y>
    </cdr:from>
    <cdr:to>
      <cdr:x>0.15477</cdr:x>
      <cdr:y>0.20359</cdr:y>
    </cdr:to>
    <cdr:sp macro="" textlink="">
      <cdr:nvSpPr>
        <cdr:cNvPr id="21" name="Rectangle à coins arrondis 20"/>
        <cdr:cNvSpPr/>
      </cdr:nvSpPr>
      <cdr:spPr>
        <a:xfrm xmlns:a="http://schemas.openxmlformats.org/drawingml/2006/main">
          <a:off x="1583531" y="1131094"/>
          <a:ext cx="745330" cy="333375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</a:t>
          </a:r>
          <a:r>
            <a:rPr lang="fr-FR" sz="1100" baseline="0"/>
            <a:t> d'espace</a:t>
          </a:r>
          <a:endParaRPr lang="fr-FR" sz="1100"/>
        </a:p>
      </cdr:txBody>
    </cdr:sp>
  </cdr:relSizeAnchor>
  <cdr:relSizeAnchor xmlns:cdr="http://schemas.openxmlformats.org/drawingml/2006/chartDrawing">
    <cdr:from>
      <cdr:x>0.11394</cdr:x>
      <cdr:y>0.20525</cdr:y>
    </cdr:from>
    <cdr:to>
      <cdr:x>0.11698</cdr:x>
      <cdr:y>0.25589</cdr:y>
    </cdr:to>
    <cdr:sp macro="" textlink="">
      <cdr:nvSpPr>
        <cdr:cNvPr id="22" name="Connecteur droit avec flèche 21"/>
        <cdr:cNvSpPr/>
      </cdr:nvSpPr>
      <cdr:spPr>
        <a:xfrm xmlns:a="http://schemas.openxmlformats.org/drawingml/2006/main" rot="16200000" flipH="1">
          <a:off x="1555196" y="1635683"/>
          <a:ext cx="364331" cy="4571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0.03007</cdr:x>
      <cdr:y>0.04635</cdr:y>
    </cdr:from>
    <cdr:to>
      <cdr:x>0.08</cdr:x>
      <cdr:y>0.11107</cdr:y>
    </cdr:to>
    <cdr:sp macro="" textlink="">
      <cdr:nvSpPr>
        <cdr:cNvPr id="24" name="Rectangle à coins arrondis 23"/>
        <cdr:cNvSpPr/>
      </cdr:nvSpPr>
      <cdr:spPr>
        <a:xfrm xmlns:a="http://schemas.openxmlformats.org/drawingml/2006/main">
          <a:off x="452437" y="333375"/>
          <a:ext cx="751302" cy="465546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Pb de pompe</a:t>
          </a:r>
        </a:p>
      </cdr:txBody>
    </cdr:sp>
  </cdr:relSizeAnchor>
  <cdr:relSizeAnchor xmlns:cdr="http://schemas.openxmlformats.org/drawingml/2006/chartDrawing">
    <cdr:from>
      <cdr:x>0.03482</cdr:x>
      <cdr:y>0.11255</cdr:y>
    </cdr:from>
    <cdr:to>
      <cdr:x>0.05824</cdr:x>
      <cdr:y>0.28238</cdr:y>
    </cdr:to>
    <cdr:sp macro="" textlink="">
      <cdr:nvSpPr>
        <cdr:cNvPr id="25" name="Connecteur droit avec flèche 24"/>
        <cdr:cNvSpPr/>
      </cdr:nvSpPr>
      <cdr:spPr>
        <a:xfrm xmlns:a="http://schemas.openxmlformats.org/drawingml/2006/main" rot="16200000" flipH="1">
          <a:off x="89287" y="1244194"/>
          <a:ext cx="1221640" cy="35239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7:T53"/>
  <sheetViews>
    <sheetView showGridLines="0" view="pageBreakPreview" zoomScale="80" zoomScaleNormal="80" zoomScaleSheetLayoutView="80" workbookViewId="0">
      <selection activeCell="AA11" sqref="AA11"/>
    </sheetView>
  </sheetViews>
  <sheetFormatPr baseColWidth="10" defaultRowHeight="15"/>
  <cols>
    <col min="1" max="1" width="6" customWidth="1"/>
    <col min="3" max="3" width="5.5703125" customWidth="1"/>
    <col min="4" max="4" width="15.85546875" customWidth="1"/>
    <col min="5" max="8" width="8.85546875" style="5" customWidth="1"/>
    <col min="9" max="9" width="8.7109375" style="5" customWidth="1"/>
    <col min="10" max="16" width="8.85546875" style="5" customWidth="1"/>
    <col min="17" max="20" width="8.85546875" customWidth="1"/>
  </cols>
  <sheetData>
    <row r="17" ht="21.75" customHeight="1"/>
    <row r="41" spans="3:20" s="3" customFormat="1" ht="33" customHeight="1">
      <c r="E41" s="231" t="s">
        <v>102</v>
      </c>
      <c r="F41" s="231" t="s">
        <v>103</v>
      </c>
      <c r="G41" s="231" t="s">
        <v>104</v>
      </c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</row>
    <row r="42" spans="3:20" ht="19.5" customHeight="1">
      <c r="D42" s="275" t="s">
        <v>59</v>
      </c>
      <c r="E42" s="148">
        <f>'22 mai - 31 mai '!S52</f>
        <v>0.66463414634146345</v>
      </c>
      <c r="F42" s="148">
        <f>'01 mai - 30 juin '!S133</f>
        <v>0.6195987654320988</v>
      </c>
      <c r="G42" s="148" t="e">
        <f>#REF!</f>
        <v>#REF!</v>
      </c>
      <c r="H42" s="235"/>
      <c r="I42" s="235"/>
      <c r="J42" s="214"/>
      <c r="K42" s="148"/>
      <c r="L42" s="235"/>
      <c r="M42" s="147"/>
      <c r="N42" s="147"/>
      <c r="O42" s="147"/>
      <c r="P42" s="147"/>
      <c r="Q42" s="147"/>
      <c r="R42" s="147"/>
      <c r="S42" s="147"/>
      <c r="T42" s="147"/>
    </row>
    <row r="43" spans="3:20" ht="19.5" customHeight="1">
      <c r="C43" s="384" t="s">
        <v>33</v>
      </c>
      <c r="D43" s="276" t="s">
        <v>40</v>
      </c>
      <c r="E43" s="213">
        <f>'22 mai - 31 mai '!W53</f>
        <v>0</v>
      </c>
      <c r="F43" s="163">
        <f>'01 mai - 30 juin '!W134</f>
        <v>0.1111111111111111</v>
      </c>
      <c r="G43" s="229" t="e">
        <f>#REF!</f>
        <v>#REF!</v>
      </c>
      <c r="H43" s="235"/>
      <c r="I43" s="235"/>
      <c r="J43" s="213"/>
      <c r="K43" s="213"/>
      <c r="L43" s="235"/>
      <c r="M43" s="147"/>
      <c r="N43" s="147"/>
      <c r="O43" s="147"/>
      <c r="P43" s="147"/>
      <c r="Q43" s="147"/>
      <c r="R43" s="147"/>
      <c r="S43" s="147"/>
      <c r="T43" s="147"/>
    </row>
    <row r="44" spans="3:20" ht="19.5" customHeight="1">
      <c r="C44" s="384"/>
      <c r="D44" s="277" t="s">
        <v>39</v>
      </c>
      <c r="E44" s="214">
        <f>'22 mai - 31 mai '!X53</f>
        <v>2.0731707317073172E-2</v>
      </c>
      <c r="F44" s="163">
        <f>'01 mai - 30 juin '!X134</f>
        <v>3.0864197530864196E-3</v>
      </c>
      <c r="G44" s="229" t="e">
        <f>#REF!</f>
        <v>#REF!</v>
      </c>
      <c r="H44" s="235"/>
      <c r="I44" s="235"/>
      <c r="J44" s="213"/>
      <c r="K44" s="213"/>
      <c r="L44" s="235"/>
      <c r="M44" s="147"/>
      <c r="N44" s="147"/>
      <c r="O44" s="147"/>
      <c r="P44" s="147"/>
      <c r="Q44" s="147"/>
      <c r="R44" s="147"/>
      <c r="S44" s="147"/>
      <c r="T44" s="147"/>
    </row>
    <row r="45" spans="3:20" ht="19.5" customHeight="1">
      <c r="C45" s="384"/>
      <c r="D45" s="278" t="s">
        <v>73</v>
      </c>
      <c r="E45" s="163">
        <f>'22 mai - 31 mai '!Y53</f>
        <v>6.8292682926829273E-2</v>
      </c>
      <c r="F45" s="163">
        <f>'01 mai - 30 juin '!Y134</f>
        <v>0.12229938271604938</v>
      </c>
      <c r="G45" s="248" t="e">
        <f>#REF!</f>
        <v>#REF!</v>
      </c>
      <c r="H45" s="163"/>
      <c r="I45" s="235"/>
      <c r="J45" s="213"/>
      <c r="K45" s="213"/>
      <c r="L45" s="235"/>
      <c r="M45" s="147"/>
      <c r="N45" s="147"/>
      <c r="O45" s="147"/>
      <c r="P45" s="147"/>
      <c r="Q45" s="147"/>
      <c r="R45" s="147"/>
      <c r="S45" s="147"/>
      <c r="T45" s="147"/>
    </row>
    <row r="46" spans="3:20" ht="19.5" customHeight="1">
      <c r="C46" s="384"/>
      <c r="D46" s="279" t="s">
        <v>74</v>
      </c>
      <c r="E46" s="163">
        <f>'22 mai - 31 mai '!Z53</f>
        <v>3.6585365853658534E-2</v>
      </c>
      <c r="F46" s="163">
        <f>'01 mai - 30 juin '!Z134</f>
        <v>0</v>
      </c>
      <c r="G46" s="163" t="e">
        <f>#REF!</f>
        <v>#REF!</v>
      </c>
      <c r="H46" s="163"/>
      <c r="I46" s="235"/>
      <c r="J46" s="213"/>
      <c r="K46" s="213"/>
      <c r="L46" s="235"/>
      <c r="M46" s="147"/>
      <c r="N46" s="147"/>
      <c r="O46" s="147"/>
      <c r="P46" s="147"/>
      <c r="Q46" s="147"/>
      <c r="R46" s="147"/>
      <c r="S46" s="147"/>
      <c r="T46" s="147"/>
    </row>
    <row r="47" spans="3:20" ht="19.5" customHeight="1">
      <c r="C47" s="384"/>
      <c r="D47" s="280" t="s">
        <v>75</v>
      </c>
      <c r="E47" s="163">
        <f>'22 mai - 31 mai '!AA53</f>
        <v>0.16951219512195123</v>
      </c>
      <c r="F47" s="248">
        <f>'01 mai - 30 juin '!AA134</f>
        <v>6.9444444444444441E-3</v>
      </c>
      <c r="G47" s="163" t="e">
        <f>#REF!</f>
        <v>#REF!</v>
      </c>
      <c r="H47" s="163"/>
      <c r="I47" s="235"/>
      <c r="J47" s="213"/>
      <c r="K47" s="213"/>
      <c r="L47" s="235"/>
      <c r="M47" s="147"/>
      <c r="N47" s="147"/>
      <c r="O47" s="147"/>
      <c r="P47" s="147"/>
      <c r="Q47" s="147"/>
      <c r="R47" s="147"/>
      <c r="S47" s="147"/>
      <c r="T47" s="147"/>
    </row>
    <row r="48" spans="3:20" ht="19.5" customHeight="1">
      <c r="C48" s="384"/>
      <c r="D48" s="281" t="s">
        <v>80</v>
      </c>
      <c r="E48" s="163">
        <v>0</v>
      </c>
      <c r="F48" s="163">
        <f>'01 mai - 30 juin '!AB134</f>
        <v>9.0277777777777776E-2</v>
      </c>
      <c r="G48" s="163">
        <v>0</v>
      </c>
      <c r="H48" s="248"/>
      <c r="I48" s="235"/>
      <c r="J48" s="213"/>
      <c r="K48" s="213"/>
      <c r="L48" s="235"/>
      <c r="M48" s="147"/>
      <c r="N48" s="147"/>
      <c r="O48" s="147"/>
      <c r="P48" s="147"/>
      <c r="Q48" s="147"/>
      <c r="R48" s="147"/>
      <c r="S48" s="147"/>
      <c r="T48" s="147"/>
    </row>
    <row r="49" spans="2:20" ht="19.5" customHeight="1">
      <c r="C49" s="384"/>
      <c r="D49" s="282" t="str">
        <f>'01 Juil - 16 Juil  '!AC9</f>
        <v>Opérateur Absent</v>
      </c>
      <c r="E49" s="163"/>
      <c r="F49" s="163">
        <f>'01 mai - 30 juin '!AC134</f>
        <v>1.8518518518518517E-2</v>
      </c>
      <c r="G49" s="163"/>
      <c r="H49" s="248"/>
      <c r="I49" s="235"/>
      <c r="J49" s="213"/>
      <c r="K49" s="213"/>
      <c r="L49" s="235"/>
      <c r="M49" s="147"/>
      <c r="N49" s="147"/>
      <c r="O49" s="147"/>
      <c r="P49" s="147"/>
      <c r="Q49" s="147"/>
      <c r="R49" s="147"/>
      <c r="S49" s="147"/>
      <c r="T49" s="147"/>
    </row>
    <row r="50" spans="2:20" ht="19.5" customHeight="1">
      <c r="C50" s="384"/>
      <c r="D50" s="283" t="s">
        <v>41</v>
      </c>
      <c r="E50" s="148">
        <f>'22 mai - 31 mai '!V53</f>
        <v>4.0243902439024391E-2</v>
      </c>
      <c r="F50" s="163">
        <f>'01 mai - 30 juin '!V134</f>
        <v>2.816358024691358E-2</v>
      </c>
      <c r="G50" s="213" t="e">
        <f>#REF!</f>
        <v>#REF!</v>
      </c>
      <c r="H50" s="235"/>
      <c r="I50" s="235"/>
      <c r="J50" s="213"/>
      <c r="K50" s="213"/>
      <c r="L50" s="235"/>
      <c r="M50" s="147"/>
      <c r="N50" s="147"/>
      <c r="O50" s="147"/>
      <c r="P50" s="147"/>
      <c r="Q50" s="147"/>
      <c r="R50" s="147"/>
      <c r="S50" s="147"/>
      <c r="T50" s="147"/>
    </row>
    <row r="51" spans="2:20" ht="20.25" customHeight="1">
      <c r="D51" s="250" t="s">
        <v>82</v>
      </c>
      <c r="E51" s="249">
        <f>'22 mai - 31 mai '!E51:H51</f>
        <v>58440</v>
      </c>
      <c r="F51" s="249">
        <f>'01 mai - 30 juin '!E132</f>
        <v>175300</v>
      </c>
      <c r="G51" s="249" t="e">
        <f>#REF!</f>
        <v>#REF!</v>
      </c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</row>
    <row r="53" spans="2:20" ht="15.75">
      <c r="B53" s="151" t="s">
        <v>60</v>
      </c>
      <c r="C53" s="149"/>
      <c r="D53" s="149"/>
      <c r="E53" s="150"/>
      <c r="F53" s="150"/>
    </row>
  </sheetData>
  <mergeCells count="1">
    <mergeCell ref="C43:C50"/>
  </mergeCells>
  <pageMargins left="0.35433070866141736" right="0.27559055118110237" top="0.31" bottom="0.34" header="0.18" footer="0.22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9"/>
  <sheetViews>
    <sheetView showGridLines="0" zoomScale="80" zoomScaleNormal="80" workbookViewId="0">
      <pane ySplit="9" topLeftCell="A37" activePane="bottomLeft" state="frozen"/>
      <selection activeCell="C1" sqref="C1"/>
      <selection pane="bottomLeft" activeCell="J49" sqref="J49:M50"/>
    </sheetView>
  </sheetViews>
  <sheetFormatPr baseColWidth="10" defaultRowHeight="15"/>
  <cols>
    <col min="1" max="1" width="6" customWidth="1"/>
    <col min="2" max="2" width="10.28515625" customWidth="1"/>
    <col min="4" max="4" width="14.4257812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18" width="12.140625" style="3" customWidth="1"/>
    <col min="19" max="20" width="9.5703125" style="3" customWidth="1"/>
    <col min="21" max="21" width="9" style="3" hidden="1" customWidth="1"/>
    <col min="22" max="27" width="9.85546875" style="3" customWidth="1"/>
    <col min="28" max="28" width="69.7109375" style="4" customWidth="1"/>
    <col min="29" max="29" width="11.42578125" style="176"/>
  </cols>
  <sheetData>
    <row r="1" spans="1:29">
      <c r="L1"/>
      <c r="M1"/>
    </row>
    <row r="2" spans="1:29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26"/>
      <c r="Q2" s="125"/>
      <c r="S2" s="119"/>
      <c r="T2" s="119"/>
      <c r="U2" s="125"/>
      <c r="V2" s="125"/>
      <c r="W2" s="125"/>
      <c r="X2" s="125"/>
      <c r="Y2" s="125"/>
      <c r="Z2" s="125"/>
      <c r="AA2" s="125"/>
    </row>
    <row r="3" spans="1:29" ht="15.75" customHeight="1">
      <c r="B3" t="s">
        <v>65</v>
      </c>
      <c r="D3" s="152"/>
      <c r="E3" s="153">
        <v>240</v>
      </c>
      <c r="F3" t="s">
        <v>64</v>
      </c>
      <c r="G3" s="468" t="str">
        <f>E9</f>
        <v>PVC Isolat°</v>
      </c>
      <c r="H3" s="468"/>
      <c r="I3" s="124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69"/>
      <c r="Q3" s="123"/>
      <c r="R3" s="7"/>
      <c r="S3" s="119"/>
      <c r="T3" s="119"/>
      <c r="U3" s="123"/>
      <c r="V3" s="123"/>
      <c r="W3" s="123"/>
      <c r="X3" s="123"/>
      <c r="Y3" s="123"/>
      <c r="Z3" s="123"/>
      <c r="AA3" s="123"/>
    </row>
    <row r="4" spans="1:29" ht="15.75" customHeight="1">
      <c r="B4" t="s">
        <v>63</v>
      </c>
      <c r="D4" s="152"/>
      <c r="E4">
        <v>205</v>
      </c>
      <c r="F4" t="s">
        <v>64</v>
      </c>
      <c r="G4" s="469" t="str">
        <f>F9</f>
        <v>PVC Gris</v>
      </c>
      <c r="H4" s="469"/>
      <c r="I4" s="122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21"/>
      <c r="P4" s="119"/>
      <c r="R4" s="119"/>
    </row>
    <row r="5" spans="1:29" ht="15.75" customHeight="1">
      <c r="B5" t="s">
        <v>62</v>
      </c>
      <c r="D5" s="154">
        <v>10320</v>
      </c>
      <c r="E5" t="s">
        <v>61</v>
      </c>
      <c r="G5" s="470" t="str">
        <f>G9</f>
        <v>PVC Gainage</v>
      </c>
      <c r="H5" s="470"/>
      <c r="I5" s="120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19"/>
      <c r="X5" s="118"/>
    </row>
    <row r="6" spans="1:29" ht="15.75" customHeight="1">
      <c r="G6" s="471" t="str">
        <f>H9</f>
        <v>PVC Bourrage</v>
      </c>
      <c r="H6" s="471"/>
      <c r="I6" s="117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16"/>
      <c r="T6" s="7"/>
      <c r="U6" s="116"/>
      <c r="V6" s="116"/>
      <c r="W6" s="116"/>
      <c r="X6" s="116"/>
      <c r="Y6" s="116"/>
      <c r="Z6" s="116"/>
      <c r="AA6" s="116"/>
    </row>
    <row r="7" spans="1:29" s="11" customFormat="1">
      <c r="H7" s="12"/>
      <c r="Q7" s="116"/>
      <c r="R7" s="115">
        <v>24</v>
      </c>
      <c r="T7" s="3"/>
      <c r="U7" s="13"/>
      <c r="V7" s="13"/>
      <c r="W7" s="13"/>
      <c r="X7" s="13"/>
      <c r="Y7" s="13"/>
      <c r="Z7" s="13"/>
      <c r="AA7" s="13"/>
      <c r="AB7" s="14"/>
      <c r="AC7" s="12"/>
    </row>
    <row r="8" spans="1:29" ht="18.75" customHeight="1">
      <c r="B8" s="502" t="s">
        <v>0</v>
      </c>
      <c r="C8" s="502" t="s">
        <v>1</v>
      </c>
      <c r="D8" s="502" t="s">
        <v>2</v>
      </c>
      <c r="E8" s="475" t="s">
        <v>3</v>
      </c>
      <c r="F8" s="475"/>
      <c r="G8" s="475"/>
      <c r="H8" s="476"/>
      <c r="I8" s="15"/>
      <c r="J8" s="505" t="s">
        <v>4</v>
      </c>
      <c r="K8" s="475"/>
      <c r="L8" s="475"/>
      <c r="M8" s="475"/>
      <c r="N8" s="475"/>
      <c r="O8" s="503"/>
      <c r="P8" s="114" t="s">
        <v>49</v>
      </c>
      <c r="Q8" s="113" t="s">
        <v>48</v>
      </c>
      <c r="R8" s="472" t="s">
        <v>47</v>
      </c>
      <c r="S8" s="474" t="s">
        <v>46</v>
      </c>
      <c r="T8" s="474"/>
      <c r="V8" s="447" t="s">
        <v>33</v>
      </c>
      <c r="W8" s="448"/>
      <c r="X8" s="448"/>
      <c r="Y8" s="448"/>
      <c r="Z8" s="448"/>
      <c r="AA8" s="449"/>
      <c r="AB8" s="112"/>
    </row>
    <row r="9" spans="1:29" ht="35.25" customHeight="1">
      <c r="B9" s="502"/>
      <c r="C9" s="502"/>
      <c r="D9" s="502"/>
      <c r="E9" s="111" t="s">
        <v>6</v>
      </c>
      <c r="F9" s="110" t="s">
        <v>7</v>
      </c>
      <c r="G9" s="109" t="s">
        <v>8</v>
      </c>
      <c r="H9" s="108" t="s">
        <v>9</v>
      </c>
      <c r="I9" s="16"/>
      <c r="J9" s="345" t="s">
        <v>10</v>
      </c>
      <c r="K9" s="346" t="s">
        <v>11</v>
      </c>
      <c r="L9" s="346" t="s">
        <v>12</v>
      </c>
      <c r="M9" s="346" t="s">
        <v>13</v>
      </c>
      <c r="N9" s="344" t="s">
        <v>14</v>
      </c>
      <c r="O9" s="504"/>
      <c r="P9" s="107" t="s">
        <v>45</v>
      </c>
      <c r="Q9" s="107" t="s">
        <v>44</v>
      </c>
      <c r="R9" s="473"/>
      <c r="S9" s="106" t="s">
        <v>43</v>
      </c>
      <c r="T9" s="105" t="s">
        <v>42</v>
      </c>
      <c r="U9" s="56"/>
      <c r="V9" s="178" t="s">
        <v>41</v>
      </c>
      <c r="W9" s="179" t="s">
        <v>40</v>
      </c>
      <c r="X9" s="180" t="s">
        <v>39</v>
      </c>
      <c r="Y9" s="181" t="s">
        <v>73</v>
      </c>
      <c r="Z9" s="182" t="s">
        <v>74</v>
      </c>
      <c r="AA9" s="183" t="s">
        <v>75</v>
      </c>
      <c r="AB9" s="57" t="s">
        <v>5</v>
      </c>
    </row>
    <row r="10" spans="1:29" ht="18" customHeight="1">
      <c r="A10" s="399" t="s">
        <v>15</v>
      </c>
      <c r="B10" s="445">
        <v>42877</v>
      </c>
      <c r="C10" s="420" t="s">
        <v>16</v>
      </c>
      <c r="D10" s="421" t="s">
        <v>17</v>
      </c>
      <c r="E10" s="19"/>
      <c r="F10" s="457">
        <v>4200</v>
      </c>
      <c r="G10" s="19"/>
      <c r="H10" s="19"/>
      <c r="I10" s="21"/>
      <c r="J10" s="433">
        <f>$F10*J$4</f>
        <v>1890</v>
      </c>
      <c r="K10" s="433">
        <f>$F10*K$4</f>
        <v>1126.8599999999999</v>
      </c>
      <c r="L10" s="433">
        <f>$F10*L$4</f>
        <v>1125.18</v>
      </c>
      <c r="M10" s="433">
        <f>$F10*M$4</f>
        <v>57.96</v>
      </c>
      <c r="N10" s="433">
        <f>$F10*N$4</f>
        <v>31.080000000000002</v>
      </c>
      <c r="O10" s="21"/>
      <c r="P10" s="420">
        <f>F10+F12</f>
        <v>8760</v>
      </c>
      <c r="Q10" s="458">
        <f>P10*R7/D5</f>
        <v>20.372093023255815</v>
      </c>
      <c r="R10" s="459">
        <f>Q10/R7</f>
        <v>0.84883720930232565</v>
      </c>
      <c r="S10" s="420">
        <f>D5-P10</f>
        <v>1560</v>
      </c>
      <c r="T10" s="465">
        <f>S10/D5</f>
        <v>0.15116279069767441</v>
      </c>
      <c r="U10" s="104"/>
      <c r="V10" s="226">
        <v>3</v>
      </c>
      <c r="W10" s="187"/>
      <c r="X10" s="187"/>
      <c r="Y10" s="187"/>
      <c r="Z10" s="187"/>
      <c r="AA10" s="188"/>
      <c r="AB10" s="102" t="s">
        <v>18</v>
      </c>
    </row>
    <row r="11" spans="1:29" ht="18" customHeight="1">
      <c r="A11" s="399"/>
      <c r="B11" s="424"/>
      <c r="C11" s="426"/>
      <c r="D11" s="436"/>
      <c r="E11" s="19"/>
      <c r="F11" s="438"/>
      <c r="G11" s="19"/>
      <c r="H11" s="19"/>
      <c r="I11" s="21"/>
      <c r="J11" s="429"/>
      <c r="K11" s="429"/>
      <c r="L11" s="429"/>
      <c r="M11" s="429"/>
      <c r="N11" s="429"/>
      <c r="O11" s="21"/>
      <c r="P11" s="406"/>
      <c r="Q11" s="409"/>
      <c r="R11" s="412"/>
      <c r="S11" s="406"/>
      <c r="T11" s="466"/>
      <c r="U11" s="430">
        <f>Q10+Y13</f>
        <v>20.372093023255815</v>
      </c>
      <c r="V11" s="199"/>
      <c r="W11" s="184"/>
      <c r="X11" s="184"/>
      <c r="Y11" s="184"/>
      <c r="Z11" s="189"/>
      <c r="AA11" s="190"/>
      <c r="AB11" s="100"/>
    </row>
    <row r="12" spans="1:29" ht="18" customHeight="1">
      <c r="A12" s="399"/>
      <c r="B12" s="424"/>
      <c r="C12" s="420" t="s">
        <v>19</v>
      </c>
      <c r="D12" s="421" t="s">
        <v>20</v>
      </c>
      <c r="E12" s="19"/>
      <c r="F12" s="440">
        <v>4560</v>
      </c>
      <c r="G12" s="19"/>
      <c r="H12" s="19"/>
      <c r="I12" s="21"/>
      <c r="J12" s="433">
        <f>$F12*J$4</f>
        <v>2052</v>
      </c>
      <c r="K12" s="433">
        <f>$F12*K$4</f>
        <v>1223.4479999999999</v>
      </c>
      <c r="L12" s="433">
        <f>$F12*L$4</f>
        <v>1221.624</v>
      </c>
      <c r="M12" s="433">
        <f>$F12*M$4</f>
        <v>62.927999999999997</v>
      </c>
      <c r="N12" s="433">
        <f>$F12*N$4</f>
        <v>33.744</v>
      </c>
      <c r="O12" s="21"/>
      <c r="P12" s="406"/>
      <c r="Q12" s="409"/>
      <c r="R12" s="412"/>
      <c r="S12" s="406"/>
      <c r="T12" s="466"/>
      <c r="U12" s="431"/>
      <c r="V12" s="199"/>
      <c r="W12" s="184"/>
      <c r="X12" s="192">
        <v>0.75</v>
      </c>
      <c r="Y12" s="192"/>
      <c r="Z12" s="192"/>
      <c r="AA12" s="192"/>
      <c r="AB12" s="194" t="s">
        <v>37</v>
      </c>
    </row>
    <row r="13" spans="1:29" ht="18" customHeight="1" thickBot="1">
      <c r="A13" s="399"/>
      <c r="B13" s="425"/>
      <c r="C13" s="407"/>
      <c r="D13" s="422"/>
      <c r="E13" s="22"/>
      <c r="F13" s="443"/>
      <c r="G13" s="22"/>
      <c r="H13" s="22"/>
      <c r="I13" s="23"/>
      <c r="J13" s="444"/>
      <c r="K13" s="444"/>
      <c r="L13" s="444"/>
      <c r="M13" s="444"/>
      <c r="N13" s="444"/>
      <c r="O13" s="23"/>
      <c r="P13" s="407"/>
      <c r="Q13" s="410"/>
      <c r="R13" s="413"/>
      <c r="S13" s="407"/>
      <c r="T13" s="467"/>
      <c r="U13" s="432"/>
      <c r="V13" s="219"/>
      <c r="W13" s="189"/>
      <c r="X13" s="189"/>
      <c r="Y13" s="189"/>
      <c r="Z13" s="189"/>
      <c r="AA13" s="190"/>
      <c r="AB13" s="100"/>
      <c r="AC13" s="177">
        <f>+Q10+V10+X12</f>
        <v>24.122093023255815</v>
      </c>
    </row>
    <row r="14" spans="1:29" ht="18" customHeight="1" thickTop="1" thickBot="1">
      <c r="A14" s="399" t="s">
        <v>21</v>
      </c>
      <c r="B14" s="423">
        <v>42878</v>
      </c>
      <c r="C14" s="405" t="s">
        <v>16</v>
      </c>
      <c r="D14" s="508" t="s">
        <v>17</v>
      </c>
      <c r="E14" s="19"/>
      <c r="F14" s="437">
        <v>360</v>
      </c>
      <c r="G14" s="19"/>
      <c r="H14" s="19"/>
      <c r="I14" s="402"/>
      <c r="J14" s="428">
        <f>$F14*J$4</f>
        <v>162</v>
      </c>
      <c r="K14" s="428">
        <f>$F14*K$4</f>
        <v>96.587999999999994</v>
      </c>
      <c r="L14" s="428">
        <f>$F14*L$4</f>
        <v>96.444000000000017</v>
      </c>
      <c r="M14" s="428">
        <f>$F14*M$4</f>
        <v>4.968</v>
      </c>
      <c r="N14" s="428">
        <f>$F14*N$4</f>
        <v>2.6640000000000001</v>
      </c>
      <c r="O14" s="21"/>
      <c r="P14" s="405">
        <f>F14+F16</f>
        <v>3120</v>
      </c>
      <c r="Q14" s="477">
        <f>P14*R7/D5</f>
        <v>7.2558139534883717</v>
      </c>
      <c r="R14" s="411">
        <f>Q14/R7</f>
        <v>0.30232558139534882</v>
      </c>
      <c r="S14" s="405">
        <f>+D5-P14</f>
        <v>7200</v>
      </c>
      <c r="T14" s="510">
        <f>S14/D5</f>
        <v>0.69767441860465118</v>
      </c>
      <c r="U14" s="97"/>
      <c r="V14" s="220"/>
      <c r="W14" s="185"/>
      <c r="X14" s="185"/>
      <c r="Y14" s="185"/>
      <c r="Z14" s="185"/>
      <c r="AA14" s="171"/>
      <c r="AB14" s="89"/>
      <c r="AC14" s="177"/>
    </row>
    <row r="15" spans="1:29" ht="18" customHeight="1" thickTop="1">
      <c r="A15" s="399"/>
      <c r="B15" s="424"/>
      <c r="C15" s="426"/>
      <c r="D15" s="509"/>
      <c r="E15" s="19"/>
      <c r="F15" s="438"/>
      <c r="G15" s="19"/>
      <c r="H15" s="19"/>
      <c r="I15" s="403"/>
      <c r="J15" s="429"/>
      <c r="K15" s="429"/>
      <c r="L15" s="429"/>
      <c r="M15" s="429"/>
      <c r="N15" s="429"/>
      <c r="O15" s="25"/>
      <c r="P15" s="406"/>
      <c r="Q15" s="478"/>
      <c r="R15" s="412"/>
      <c r="S15" s="406"/>
      <c r="T15" s="466"/>
      <c r="U15" s="430">
        <f>Q14+Y15+Y17</f>
        <v>7.2558139534883717</v>
      </c>
      <c r="V15" s="199"/>
      <c r="W15" s="184"/>
      <c r="X15" s="192">
        <v>1.25</v>
      </c>
      <c r="Y15" s="192"/>
      <c r="Z15" s="192"/>
      <c r="AA15" s="192"/>
      <c r="AB15" s="194" t="s">
        <v>37</v>
      </c>
      <c r="AC15" s="177"/>
    </row>
    <row r="16" spans="1:29" ht="18" customHeight="1">
      <c r="A16" s="399"/>
      <c r="B16" s="424"/>
      <c r="C16" s="420" t="s">
        <v>19</v>
      </c>
      <c r="D16" s="421" t="s">
        <v>22</v>
      </c>
      <c r="E16" s="19"/>
      <c r="F16" s="440">
        <v>2760</v>
      </c>
      <c r="G16" s="19"/>
      <c r="H16" s="19"/>
      <c r="I16" s="403"/>
      <c r="J16" s="433">
        <f>$F16*J$4</f>
        <v>1242</v>
      </c>
      <c r="K16" s="433">
        <f>$F16*K$4</f>
        <v>740.50799999999992</v>
      </c>
      <c r="L16" s="433">
        <f>$F16*L$4</f>
        <v>739.40400000000011</v>
      </c>
      <c r="M16" s="433">
        <f>$F16*M$4</f>
        <v>38.088000000000001</v>
      </c>
      <c r="N16" s="433">
        <f>$F16*N$4</f>
        <v>20.423999999999999</v>
      </c>
      <c r="O16" s="21"/>
      <c r="P16" s="406"/>
      <c r="Q16" s="478"/>
      <c r="R16" s="412"/>
      <c r="S16" s="406"/>
      <c r="T16" s="466"/>
      <c r="U16" s="431"/>
      <c r="V16" s="199"/>
      <c r="W16" s="184"/>
      <c r="X16" s="184"/>
      <c r="Y16" s="94">
        <v>8</v>
      </c>
      <c r="Z16" s="94"/>
      <c r="AA16" s="174"/>
      <c r="AB16" s="195" t="s">
        <v>51</v>
      </c>
      <c r="AC16" s="177"/>
    </row>
    <row r="17" spans="1:29" ht="18" customHeight="1" thickBot="1">
      <c r="A17" s="399"/>
      <c r="B17" s="425"/>
      <c r="C17" s="407"/>
      <c r="D17" s="422"/>
      <c r="E17" s="22"/>
      <c r="F17" s="443"/>
      <c r="G17" s="22"/>
      <c r="H17" s="22"/>
      <c r="I17" s="404"/>
      <c r="J17" s="444"/>
      <c r="K17" s="444"/>
      <c r="L17" s="444"/>
      <c r="M17" s="444"/>
      <c r="N17" s="444"/>
      <c r="O17" s="23"/>
      <c r="P17" s="407"/>
      <c r="Q17" s="479"/>
      <c r="R17" s="413"/>
      <c r="S17" s="407"/>
      <c r="T17" s="467"/>
      <c r="U17" s="432"/>
      <c r="V17" s="201"/>
      <c r="W17" s="197"/>
      <c r="X17" s="197"/>
      <c r="Y17" s="189"/>
      <c r="Z17" s="207">
        <v>7.5</v>
      </c>
      <c r="AA17" s="173"/>
      <c r="AB17" s="196" t="s">
        <v>76</v>
      </c>
      <c r="AC17" s="177">
        <f>Q14+X15+Z17+Z16+Y16</f>
        <v>24.005813953488371</v>
      </c>
    </row>
    <row r="18" spans="1:29" ht="18" customHeight="1" thickTop="1" thickBot="1">
      <c r="A18" s="399" t="s">
        <v>23</v>
      </c>
      <c r="B18" s="423">
        <v>42879</v>
      </c>
      <c r="C18" s="405" t="s">
        <v>16</v>
      </c>
      <c r="D18" s="508" t="s">
        <v>17</v>
      </c>
      <c r="E18" s="19"/>
      <c r="F18" s="437">
        <v>4800</v>
      </c>
      <c r="G18" s="19"/>
      <c r="H18" s="19"/>
      <c r="I18" s="21"/>
      <c r="J18" s="428">
        <f>$F18*J$4</f>
        <v>2160</v>
      </c>
      <c r="K18" s="428">
        <f>$F18*K$4</f>
        <v>1287.8399999999999</v>
      </c>
      <c r="L18" s="428">
        <f>$F18*L$4</f>
        <v>1285.92</v>
      </c>
      <c r="M18" s="428">
        <f>$F18*M$4</f>
        <v>66.239999999999995</v>
      </c>
      <c r="N18" s="428">
        <f>$F18*N$4</f>
        <v>35.520000000000003</v>
      </c>
      <c r="O18" s="21"/>
      <c r="P18" s="405">
        <f>F18+F20</f>
        <v>10320</v>
      </c>
      <c r="Q18" s="477">
        <f>P18*R7/D5</f>
        <v>24</v>
      </c>
      <c r="R18" s="411">
        <f>Q18/R7</f>
        <v>1</v>
      </c>
      <c r="S18" s="405">
        <f>+D5-P18</f>
        <v>0</v>
      </c>
      <c r="T18" s="510">
        <f>S18/D5</f>
        <v>0</v>
      </c>
      <c r="U18" s="97"/>
      <c r="V18" s="220"/>
      <c r="W18" s="185"/>
      <c r="X18" s="185"/>
      <c r="Y18" s="185"/>
      <c r="Z18" s="185"/>
      <c r="AA18" s="171"/>
      <c r="AB18" s="89"/>
      <c r="AC18" s="177"/>
    </row>
    <row r="19" spans="1:29" ht="18" customHeight="1" thickTop="1">
      <c r="A19" s="399"/>
      <c r="B19" s="424"/>
      <c r="C19" s="426"/>
      <c r="D19" s="509"/>
      <c r="E19" s="19"/>
      <c r="F19" s="438"/>
      <c r="G19" s="19"/>
      <c r="H19" s="19"/>
      <c r="I19" s="21"/>
      <c r="J19" s="429"/>
      <c r="K19" s="429"/>
      <c r="L19" s="429"/>
      <c r="M19" s="429"/>
      <c r="N19" s="429"/>
      <c r="O19" s="21"/>
      <c r="P19" s="406"/>
      <c r="Q19" s="478"/>
      <c r="R19" s="412"/>
      <c r="S19" s="406"/>
      <c r="T19" s="466"/>
      <c r="U19" s="417"/>
      <c r="V19" s="199"/>
      <c r="W19" s="184"/>
      <c r="X19" s="184"/>
      <c r="Y19" s="184"/>
      <c r="Z19" s="184"/>
      <c r="AA19" s="169"/>
      <c r="AB19" s="82"/>
      <c r="AC19" s="177"/>
    </row>
    <row r="20" spans="1:29" ht="18" customHeight="1">
      <c r="A20" s="399"/>
      <c r="B20" s="424"/>
      <c r="C20" s="420" t="s">
        <v>19</v>
      </c>
      <c r="D20" s="421" t="s">
        <v>22</v>
      </c>
      <c r="E20" s="19"/>
      <c r="F20" s="440">
        <f>46*120</f>
        <v>5520</v>
      </c>
      <c r="G20" s="19"/>
      <c r="H20" s="19"/>
      <c r="I20" s="21"/>
      <c r="J20" s="433">
        <f>$F20*J$4</f>
        <v>2484</v>
      </c>
      <c r="K20" s="433">
        <f>$F20*K$4</f>
        <v>1481.0159999999998</v>
      </c>
      <c r="L20" s="433">
        <f>$F20*L$4</f>
        <v>1478.8080000000002</v>
      </c>
      <c r="M20" s="433">
        <f>$F20*M$4</f>
        <v>76.176000000000002</v>
      </c>
      <c r="N20" s="433">
        <f>$F20*N$4</f>
        <v>40.847999999999999</v>
      </c>
      <c r="O20" s="21"/>
      <c r="P20" s="406"/>
      <c r="Q20" s="478"/>
      <c r="R20" s="412"/>
      <c r="S20" s="406"/>
      <c r="T20" s="466"/>
      <c r="U20" s="418"/>
      <c r="V20" s="199"/>
      <c r="W20" s="184"/>
      <c r="X20" s="184"/>
      <c r="Y20" s="184"/>
      <c r="Z20" s="184"/>
      <c r="AA20" s="169"/>
      <c r="AB20" s="82"/>
      <c r="AC20" s="177"/>
    </row>
    <row r="21" spans="1:29" ht="18" customHeight="1" thickBot="1">
      <c r="A21" s="399"/>
      <c r="B21" s="425"/>
      <c r="C21" s="407"/>
      <c r="D21" s="422"/>
      <c r="E21" s="22"/>
      <c r="F21" s="443"/>
      <c r="G21" s="22"/>
      <c r="H21" s="22"/>
      <c r="I21" s="23"/>
      <c r="J21" s="444"/>
      <c r="K21" s="444"/>
      <c r="L21" s="444"/>
      <c r="M21" s="444"/>
      <c r="N21" s="444"/>
      <c r="O21" s="23"/>
      <c r="P21" s="407"/>
      <c r="Q21" s="479"/>
      <c r="R21" s="413"/>
      <c r="S21" s="407"/>
      <c r="T21" s="467"/>
      <c r="U21" s="419"/>
      <c r="V21" s="201"/>
      <c r="W21" s="197"/>
      <c r="X21" s="197"/>
      <c r="Y21" s="197"/>
      <c r="Z21" s="197"/>
      <c r="AA21" s="202"/>
      <c r="AB21" s="26"/>
      <c r="AC21" s="177">
        <f>Q18+X20</f>
        <v>24</v>
      </c>
    </row>
    <row r="22" spans="1:29" ht="18" customHeight="1" thickTop="1" thickBot="1">
      <c r="A22" s="399" t="s">
        <v>24</v>
      </c>
      <c r="B22" s="423">
        <v>42880</v>
      </c>
      <c r="C22" s="405" t="s">
        <v>16</v>
      </c>
      <c r="D22" s="508" t="s">
        <v>17</v>
      </c>
      <c r="E22" s="19"/>
      <c r="F22" s="437">
        <f>28*120</f>
        <v>3360</v>
      </c>
      <c r="G22" s="19"/>
      <c r="H22" s="19"/>
      <c r="I22" s="402"/>
      <c r="J22" s="428">
        <f>$F22*J$4</f>
        <v>1512</v>
      </c>
      <c r="K22" s="428">
        <f>$F22*K$4</f>
        <v>901.48799999999994</v>
      </c>
      <c r="L22" s="428">
        <f>$F22*L$4</f>
        <v>900.14400000000012</v>
      </c>
      <c r="M22" s="428">
        <f>$F22*M$4</f>
        <v>46.368000000000002</v>
      </c>
      <c r="N22" s="428">
        <f>$F22*N$4</f>
        <v>24.864000000000001</v>
      </c>
      <c r="O22" s="402"/>
      <c r="P22" s="405">
        <f>SUM(E22:H26)</f>
        <v>8520</v>
      </c>
      <c r="Q22" s="460">
        <f>P22*R7/D5</f>
        <v>19.813953488372093</v>
      </c>
      <c r="R22" s="411">
        <f>Q22/R7</f>
        <v>0.82558139534883723</v>
      </c>
      <c r="S22" s="405">
        <f>+D5-P22</f>
        <v>1800</v>
      </c>
      <c r="T22" s="517">
        <f>S22/D5</f>
        <v>0.1744186046511628</v>
      </c>
      <c r="U22" s="96"/>
      <c r="V22" s="220"/>
      <c r="W22" s="185"/>
      <c r="X22" s="185"/>
      <c r="Y22" s="185"/>
      <c r="Z22" s="185"/>
      <c r="AA22" s="185"/>
      <c r="AB22" s="95"/>
      <c r="AC22" s="208"/>
    </row>
    <row r="23" spans="1:29" ht="18" customHeight="1" thickTop="1">
      <c r="A23" s="399"/>
      <c r="B23" s="506"/>
      <c r="C23" s="426"/>
      <c r="D23" s="509"/>
      <c r="E23" s="19"/>
      <c r="F23" s="438"/>
      <c r="G23" s="19"/>
      <c r="H23" s="19"/>
      <c r="I23" s="403"/>
      <c r="J23" s="429"/>
      <c r="K23" s="429"/>
      <c r="L23" s="429"/>
      <c r="M23" s="429"/>
      <c r="N23" s="429"/>
      <c r="O23" s="403"/>
      <c r="P23" s="406"/>
      <c r="Q23" s="461"/>
      <c r="R23" s="412"/>
      <c r="S23" s="406"/>
      <c r="T23" s="518"/>
      <c r="U23" s="460">
        <f>Q22+Y23+Y25</f>
        <v>19.813953488372093</v>
      </c>
      <c r="V23" s="199"/>
      <c r="W23" s="184"/>
      <c r="X23" s="184"/>
      <c r="Y23" s="184"/>
      <c r="Z23" s="184"/>
      <c r="AA23" s="184"/>
      <c r="AB23" s="82"/>
      <c r="AC23" s="208"/>
    </row>
    <row r="24" spans="1:29" ht="18" customHeight="1">
      <c r="A24" s="399"/>
      <c r="B24" s="506"/>
      <c r="C24" s="420" t="s">
        <v>19</v>
      </c>
      <c r="D24" s="421" t="s">
        <v>22</v>
      </c>
      <c r="E24" s="19"/>
      <c r="F24" s="440">
        <f>34*120</f>
        <v>4080</v>
      </c>
      <c r="G24" s="19"/>
      <c r="H24" s="19"/>
      <c r="I24" s="21"/>
      <c r="J24" s="433">
        <f>$F24*J$4</f>
        <v>1836</v>
      </c>
      <c r="K24" s="433">
        <f>$F24*K$4</f>
        <v>1094.664</v>
      </c>
      <c r="L24" s="433">
        <f>$F24*L$4</f>
        <v>1093.0320000000002</v>
      </c>
      <c r="M24" s="433">
        <f>$F24*M$4</f>
        <v>56.304000000000002</v>
      </c>
      <c r="N24" s="433">
        <f>$F24*N$4</f>
        <v>30.192</v>
      </c>
      <c r="O24" s="403"/>
      <c r="P24" s="406"/>
      <c r="Q24" s="461"/>
      <c r="R24" s="412"/>
      <c r="S24" s="406"/>
      <c r="T24" s="518"/>
      <c r="U24" s="461"/>
      <c r="V24" s="199"/>
      <c r="W24" s="184"/>
      <c r="X24" s="192">
        <v>2.25</v>
      </c>
      <c r="Y24" s="192"/>
      <c r="Z24" s="192"/>
      <c r="AA24" s="192"/>
      <c r="AB24" s="194" t="s">
        <v>37</v>
      </c>
      <c r="AC24" s="208"/>
    </row>
    <row r="25" spans="1:29" ht="18" customHeight="1">
      <c r="A25" s="399"/>
      <c r="B25" s="506"/>
      <c r="C25" s="506"/>
      <c r="D25" s="489"/>
      <c r="E25" s="19"/>
      <c r="F25" s="438"/>
      <c r="G25" s="27"/>
      <c r="H25" s="27"/>
      <c r="I25" s="21"/>
      <c r="J25" s="429"/>
      <c r="K25" s="429"/>
      <c r="L25" s="429"/>
      <c r="M25" s="429"/>
      <c r="N25" s="429"/>
      <c r="O25" s="403"/>
      <c r="P25" s="406"/>
      <c r="Q25" s="461"/>
      <c r="R25" s="412"/>
      <c r="S25" s="406"/>
      <c r="T25" s="518"/>
      <c r="U25" s="461"/>
      <c r="V25" s="199"/>
      <c r="W25" s="184"/>
      <c r="X25" s="184"/>
      <c r="Y25" s="184"/>
      <c r="Z25" s="189"/>
      <c r="AA25" s="101">
        <v>1</v>
      </c>
      <c r="AB25" s="511" t="s">
        <v>38</v>
      </c>
      <c r="AC25" s="177">
        <f>+Q22+X24+AA25+AA26</f>
        <v>24.063953488372093</v>
      </c>
    </row>
    <row r="26" spans="1:29" ht="26.25" customHeight="1" thickBot="1">
      <c r="A26" s="399"/>
      <c r="B26" s="507"/>
      <c r="C26" s="507"/>
      <c r="D26" s="422"/>
      <c r="E26" s="22"/>
      <c r="F26" s="22"/>
      <c r="G26" s="22"/>
      <c r="H26" s="28">
        <v>1080</v>
      </c>
      <c r="I26" s="23"/>
      <c r="J26" s="29">
        <f t="shared" ref="J26:N27" si="0">$H26*J$6</f>
        <v>381.45600000000002</v>
      </c>
      <c r="K26" s="29">
        <f t="shared" si="0"/>
        <v>458.13600000000002</v>
      </c>
      <c r="L26" s="29">
        <f t="shared" si="0"/>
        <v>228.95999999999998</v>
      </c>
      <c r="M26" s="29">
        <f t="shared" si="0"/>
        <v>11.448</v>
      </c>
      <c r="N26" s="30">
        <f t="shared" si="0"/>
        <v>0</v>
      </c>
      <c r="O26" s="404"/>
      <c r="P26" s="407"/>
      <c r="Q26" s="462"/>
      <c r="R26" s="413"/>
      <c r="S26" s="407"/>
      <c r="T26" s="519"/>
      <c r="U26" s="462"/>
      <c r="V26" s="225"/>
      <c r="W26" s="223"/>
      <c r="X26" s="223"/>
      <c r="Y26" s="198"/>
      <c r="Z26" s="197"/>
      <c r="AA26" s="93">
        <v>1</v>
      </c>
      <c r="AB26" s="512"/>
      <c r="AC26" s="177"/>
    </row>
    <row r="27" spans="1:29" ht="18" customHeight="1" thickTop="1" thickBot="1">
      <c r="A27" s="399" t="s">
        <v>25</v>
      </c>
      <c r="B27" s="423">
        <v>42881</v>
      </c>
      <c r="C27" s="405" t="s">
        <v>16</v>
      </c>
      <c r="D27" s="508" t="s">
        <v>17</v>
      </c>
      <c r="E27" s="397"/>
      <c r="F27" s="397"/>
      <c r="G27" s="92"/>
      <c r="H27" s="513">
        <v>4800</v>
      </c>
      <c r="I27" s="21"/>
      <c r="J27" s="515">
        <f t="shared" si="0"/>
        <v>1695.3600000000001</v>
      </c>
      <c r="K27" s="515">
        <f t="shared" si="0"/>
        <v>2036.16</v>
      </c>
      <c r="L27" s="515">
        <f t="shared" si="0"/>
        <v>1017.6</v>
      </c>
      <c r="M27" s="515">
        <f t="shared" si="0"/>
        <v>50.88</v>
      </c>
      <c r="N27" s="520">
        <f t="shared" si="0"/>
        <v>0</v>
      </c>
      <c r="O27" s="91"/>
      <c r="P27" s="405">
        <f>SUM(E27:H30)</f>
        <v>9600</v>
      </c>
      <c r="Q27" s="442">
        <f>P27*R7/D5</f>
        <v>22.325581395348838</v>
      </c>
      <c r="R27" s="411">
        <f>Q27/R7</f>
        <v>0.93023255813953487</v>
      </c>
      <c r="S27" s="405">
        <f>+D5-P27</f>
        <v>720</v>
      </c>
      <c r="T27" s="510">
        <f>S27/D5</f>
        <v>6.9767441860465115E-2</v>
      </c>
      <c r="U27" s="90"/>
      <c r="V27" s="220"/>
      <c r="W27" s="185"/>
      <c r="X27" s="185"/>
      <c r="Y27" s="185"/>
      <c r="Z27" s="185"/>
      <c r="AA27" s="185"/>
      <c r="AB27" s="89"/>
      <c r="AC27" s="177"/>
    </row>
    <row r="28" spans="1:29" ht="18" customHeight="1" thickTop="1">
      <c r="A28" s="399"/>
      <c r="B28" s="424"/>
      <c r="C28" s="426"/>
      <c r="D28" s="509"/>
      <c r="E28" s="398"/>
      <c r="F28" s="398"/>
      <c r="G28" s="31"/>
      <c r="H28" s="514"/>
      <c r="I28" s="21"/>
      <c r="J28" s="516"/>
      <c r="K28" s="516"/>
      <c r="L28" s="516"/>
      <c r="M28" s="516"/>
      <c r="N28" s="521"/>
      <c r="O28" s="21"/>
      <c r="P28" s="406"/>
      <c r="Q28" s="431"/>
      <c r="R28" s="412"/>
      <c r="S28" s="406"/>
      <c r="T28" s="466"/>
      <c r="U28" s="442">
        <f>Y28+Y30+Q27</f>
        <v>22.325581395348838</v>
      </c>
      <c r="V28" s="199"/>
      <c r="W28" s="184"/>
      <c r="X28" s="193"/>
      <c r="Y28" s="193"/>
      <c r="Z28" s="193"/>
      <c r="AA28" s="193"/>
      <c r="AB28" s="166"/>
      <c r="AC28" s="177"/>
    </row>
    <row r="29" spans="1:29" ht="31.5" customHeight="1">
      <c r="A29" s="399"/>
      <c r="B29" s="424"/>
      <c r="C29" s="420" t="s">
        <v>19</v>
      </c>
      <c r="D29" s="485" t="s">
        <v>22</v>
      </c>
      <c r="E29" s="31"/>
      <c r="F29" s="31"/>
      <c r="G29" s="31"/>
      <c r="H29" s="32">
        <f>32*120</f>
        <v>3840</v>
      </c>
      <c r="I29" s="21"/>
      <c r="J29" s="33">
        <f>$H29*J$6</f>
        <v>1356.288</v>
      </c>
      <c r="K29" s="33">
        <f>$H29*K$6</f>
        <v>1628.9280000000001</v>
      </c>
      <c r="L29" s="33">
        <f>$H29*L$6</f>
        <v>814.07999999999993</v>
      </c>
      <c r="M29" s="33">
        <f>$H29*M$6</f>
        <v>40.704000000000001</v>
      </c>
      <c r="N29" s="34">
        <f>$H29*N$6</f>
        <v>0</v>
      </c>
      <c r="O29" s="21"/>
      <c r="P29" s="406"/>
      <c r="Q29" s="431"/>
      <c r="R29" s="412"/>
      <c r="S29" s="406"/>
      <c r="T29" s="466"/>
      <c r="U29" s="406"/>
      <c r="V29" s="199"/>
      <c r="W29" s="184"/>
      <c r="X29" s="184"/>
      <c r="Y29" s="184"/>
      <c r="Z29" s="184"/>
      <c r="AA29" s="209">
        <v>0.75</v>
      </c>
      <c r="AB29" s="87" t="s">
        <v>32</v>
      </c>
      <c r="AC29" s="177">
        <f>+Q27+AA29+AA30</f>
        <v>24.075581395348838</v>
      </c>
    </row>
    <row r="30" spans="1:29" ht="31.5" customHeight="1" thickBot="1">
      <c r="A30" s="399"/>
      <c r="B30" s="425"/>
      <c r="C30" s="407"/>
      <c r="D30" s="486"/>
      <c r="E30" s="35">
        <f>8*120</f>
        <v>960</v>
      </c>
      <c r="F30" s="22"/>
      <c r="G30" s="22"/>
      <c r="H30" s="22"/>
      <c r="I30" s="21"/>
      <c r="J30" s="36">
        <f t="shared" ref="J30:M31" si="1">$E30*J$3</f>
        <v>441.6</v>
      </c>
      <c r="K30" s="36">
        <f t="shared" si="1"/>
        <v>293.952</v>
      </c>
      <c r="L30" s="36">
        <f t="shared" si="1"/>
        <v>211.2</v>
      </c>
      <c r="M30" s="36">
        <f t="shared" si="1"/>
        <v>13.247999999999999</v>
      </c>
      <c r="N30" s="34"/>
      <c r="O30" s="21"/>
      <c r="P30" s="407"/>
      <c r="Q30" s="432"/>
      <c r="R30" s="413"/>
      <c r="S30" s="407"/>
      <c r="T30" s="467"/>
      <c r="U30" s="407"/>
      <c r="V30" s="201"/>
      <c r="W30" s="197"/>
      <c r="X30" s="197"/>
      <c r="Y30" s="197"/>
      <c r="Z30" s="197"/>
      <c r="AA30" s="76">
        <v>1</v>
      </c>
      <c r="AB30" s="86" t="s">
        <v>31</v>
      </c>
      <c r="AC30" s="177"/>
    </row>
    <row r="31" spans="1:29" ht="21.75" customHeight="1" thickTop="1" thickBot="1">
      <c r="A31" s="399" t="s">
        <v>26</v>
      </c>
      <c r="B31" s="423">
        <v>42882</v>
      </c>
      <c r="C31" s="405" t="s">
        <v>16</v>
      </c>
      <c r="D31" s="435" t="s">
        <v>17</v>
      </c>
      <c r="E31" s="492">
        <f>40*120</f>
        <v>4800</v>
      </c>
      <c r="F31" s="494"/>
      <c r="G31" s="496"/>
      <c r="H31" s="498"/>
      <c r="I31" s="403"/>
      <c r="J31" s="490">
        <f t="shared" si="1"/>
        <v>2208</v>
      </c>
      <c r="K31" s="490">
        <f t="shared" si="1"/>
        <v>1469.7600000000002</v>
      </c>
      <c r="L31" s="490">
        <f t="shared" si="1"/>
        <v>1056</v>
      </c>
      <c r="M31" s="490">
        <f t="shared" si="1"/>
        <v>66.239999999999995</v>
      </c>
      <c r="N31" s="500">
        <f>$F32*N$4</f>
        <v>0</v>
      </c>
      <c r="O31" s="403"/>
      <c r="P31" s="405">
        <f>SUM(E31:H34)</f>
        <v>9840</v>
      </c>
      <c r="Q31" s="408">
        <f>P31*$R$7/$D$5</f>
        <v>22.88372093023256</v>
      </c>
      <c r="R31" s="411">
        <f>Q31/$R$7</f>
        <v>0.95348837209302328</v>
      </c>
      <c r="S31" s="405">
        <f>$D$5-P31</f>
        <v>480</v>
      </c>
      <c r="T31" s="414">
        <f>S31/$D$5</f>
        <v>4.6511627906976744E-2</v>
      </c>
      <c r="U31" s="85"/>
      <c r="V31" s="211">
        <v>1.25</v>
      </c>
      <c r="W31" s="204"/>
      <c r="X31" s="204"/>
      <c r="Y31" s="204"/>
      <c r="Z31" s="204"/>
      <c r="AA31" s="205"/>
      <c r="AB31" s="206" t="s">
        <v>27</v>
      </c>
      <c r="AC31" s="177"/>
    </row>
    <row r="32" spans="1:29" ht="21.75" customHeight="1" thickTop="1">
      <c r="A32" s="399"/>
      <c r="B32" s="424"/>
      <c r="C32" s="426"/>
      <c r="D32" s="436"/>
      <c r="E32" s="493"/>
      <c r="F32" s="495"/>
      <c r="G32" s="497"/>
      <c r="H32" s="499"/>
      <c r="I32" s="403"/>
      <c r="J32" s="491"/>
      <c r="K32" s="491"/>
      <c r="L32" s="491"/>
      <c r="M32" s="491"/>
      <c r="N32" s="501"/>
      <c r="O32" s="403"/>
      <c r="P32" s="406"/>
      <c r="Q32" s="409"/>
      <c r="R32" s="412"/>
      <c r="S32" s="406"/>
      <c r="T32" s="415"/>
      <c r="U32" s="442">
        <f>Q31+Y33</f>
        <v>22.88372093023256</v>
      </c>
      <c r="V32" s="199"/>
      <c r="W32" s="184"/>
      <c r="X32" s="200"/>
      <c r="Y32" s="184"/>
      <c r="Z32" s="184"/>
      <c r="AA32" s="169"/>
      <c r="AB32" s="166"/>
      <c r="AC32" s="177"/>
    </row>
    <row r="33" spans="1:29" ht="27.75" customHeight="1" thickBot="1">
      <c r="A33" s="399"/>
      <c r="B33" s="424"/>
      <c r="C33" s="420" t="s">
        <v>19</v>
      </c>
      <c r="D33" s="421" t="s">
        <v>22</v>
      </c>
      <c r="E33" s="37">
        <f>32*120</f>
        <v>3840</v>
      </c>
      <c r="F33" s="38"/>
      <c r="G33" s="39"/>
      <c r="H33" s="40"/>
      <c r="I33" s="41"/>
      <c r="J33" s="42">
        <f t="shared" ref="J33:M34" si="2">$E33*J$3</f>
        <v>1766.4</v>
      </c>
      <c r="K33" s="42">
        <f t="shared" si="2"/>
        <v>1175.808</v>
      </c>
      <c r="L33" s="42">
        <f t="shared" si="2"/>
        <v>844.8</v>
      </c>
      <c r="M33" s="42">
        <f t="shared" si="2"/>
        <v>52.991999999999997</v>
      </c>
      <c r="N33" s="43">
        <f>$F33*N$4</f>
        <v>0</v>
      </c>
      <c r="O33" s="21"/>
      <c r="P33" s="406"/>
      <c r="Q33" s="409"/>
      <c r="R33" s="412"/>
      <c r="S33" s="406"/>
      <c r="T33" s="415"/>
      <c r="U33" s="431"/>
      <c r="V33" s="199"/>
      <c r="W33" s="184"/>
      <c r="X33" s="193"/>
      <c r="Y33" s="193"/>
      <c r="Z33" s="193"/>
      <c r="AA33" s="193"/>
      <c r="AB33" s="166"/>
      <c r="AC33" s="177">
        <f>+Q31+V31</f>
        <v>24.13372093023256</v>
      </c>
    </row>
    <row r="34" spans="1:29" ht="27.75" customHeight="1" thickTop="1" thickBot="1">
      <c r="A34" s="399"/>
      <c r="B34" s="425"/>
      <c r="C34" s="406"/>
      <c r="D34" s="489"/>
      <c r="E34" s="35">
        <v>1200</v>
      </c>
      <c r="F34" s="329"/>
      <c r="G34" s="329"/>
      <c r="H34" s="329"/>
      <c r="I34" s="21"/>
      <c r="J34" s="349">
        <f t="shared" si="2"/>
        <v>552</v>
      </c>
      <c r="K34" s="349">
        <f t="shared" si="2"/>
        <v>367.44000000000005</v>
      </c>
      <c r="L34" s="349">
        <f t="shared" si="2"/>
        <v>264</v>
      </c>
      <c r="M34" s="349">
        <f t="shared" si="2"/>
        <v>16.559999999999999</v>
      </c>
      <c r="N34" s="44"/>
      <c r="O34" s="21"/>
      <c r="P34" s="407"/>
      <c r="Q34" s="410"/>
      <c r="R34" s="413"/>
      <c r="S34" s="407"/>
      <c r="T34" s="416"/>
      <c r="U34" s="432"/>
      <c r="V34" s="201"/>
      <c r="W34" s="197"/>
      <c r="X34" s="197"/>
      <c r="Y34" s="197"/>
      <c r="Z34" s="197"/>
      <c r="AA34" s="202"/>
      <c r="AB34" s="203"/>
      <c r="AC34" s="177"/>
    </row>
    <row r="35" spans="1:29" ht="31.5" customHeight="1" thickTop="1">
      <c r="A35" s="399" t="s">
        <v>28</v>
      </c>
      <c r="B35" s="487">
        <v>42883</v>
      </c>
      <c r="C35" s="391" t="s">
        <v>101</v>
      </c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3"/>
      <c r="O35" s="25"/>
      <c r="P35" s="452"/>
      <c r="Q35" s="452">
        <f>P35*R7/D5</f>
        <v>0</v>
      </c>
      <c r="R35" s="450">
        <f>Q35/R7</f>
        <v>0</v>
      </c>
      <c r="S35" s="452">
        <f>+D5-P35</f>
        <v>10320</v>
      </c>
      <c r="T35" s="463">
        <f>S35/D5</f>
        <v>1</v>
      </c>
      <c r="U35" s="45"/>
      <c r="V35" s="385" t="s">
        <v>101</v>
      </c>
      <c r="W35" s="386"/>
      <c r="X35" s="386"/>
      <c r="Y35" s="386"/>
      <c r="Z35" s="386"/>
      <c r="AA35" s="387"/>
      <c r="AB35" s="224"/>
      <c r="AC35" s="177"/>
    </row>
    <row r="36" spans="1:29" ht="31.5" customHeight="1" thickBot="1">
      <c r="A36" s="399"/>
      <c r="B36" s="488"/>
      <c r="C36" s="394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6"/>
      <c r="O36" s="23"/>
      <c r="P36" s="453"/>
      <c r="Q36" s="453"/>
      <c r="R36" s="451"/>
      <c r="S36" s="453"/>
      <c r="T36" s="464"/>
      <c r="U36" s="47"/>
      <c r="V36" s="388"/>
      <c r="W36" s="389"/>
      <c r="X36" s="389"/>
      <c r="Y36" s="389"/>
      <c r="Z36" s="389"/>
      <c r="AA36" s="390"/>
      <c r="AB36" s="191"/>
      <c r="AC36" s="177"/>
    </row>
    <row r="37" spans="1:29" ht="21" customHeight="1" thickTop="1">
      <c r="A37" s="399" t="s">
        <v>15</v>
      </c>
      <c r="B37" s="445">
        <v>42884</v>
      </c>
      <c r="C37" s="406" t="s">
        <v>16</v>
      </c>
      <c r="D37" s="348"/>
      <c r="E37" s="327"/>
      <c r="F37" s="427"/>
      <c r="G37" s="327"/>
      <c r="H37" s="327"/>
      <c r="I37" s="128"/>
      <c r="J37" s="446"/>
      <c r="K37" s="446"/>
      <c r="L37" s="446"/>
      <c r="M37" s="446"/>
      <c r="N37" s="446"/>
      <c r="O37" s="21"/>
      <c r="P37" s="420">
        <f>F37+F39</f>
        <v>1740</v>
      </c>
      <c r="Q37" s="442">
        <f>P37*$R$7/$D$5</f>
        <v>4.0465116279069768</v>
      </c>
      <c r="R37" s="411">
        <f>Q37/$R$7</f>
        <v>0.16860465116279069</v>
      </c>
      <c r="S37" s="405">
        <f>$D$5-P37</f>
        <v>8580</v>
      </c>
      <c r="T37" s="414">
        <f>S37/$D$5</f>
        <v>0.83139534883720934</v>
      </c>
      <c r="U37" s="104"/>
      <c r="V37" s="103">
        <v>2</v>
      </c>
      <c r="W37" s="187"/>
      <c r="X37" s="187"/>
      <c r="Y37" s="187"/>
      <c r="Z37" s="187"/>
      <c r="AA37" s="188"/>
      <c r="AB37" s="102" t="s">
        <v>50</v>
      </c>
    </row>
    <row r="38" spans="1:29" ht="21" customHeight="1">
      <c r="A38" s="399"/>
      <c r="B38" s="424"/>
      <c r="C38" s="426"/>
      <c r="D38" s="348"/>
      <c r="E38" s="329"/>
      <c r="F38" s="398"/>
      <c r="G38" s="329"/>
      <c r="H38" s="329"/>
      <c r="I38" s="128"/>
      <c r="J38" s="401"/>
      <c r="K38" s="401"/>
      <c r="L38" s="401"/>
      <c r="M38" s="401"/>
      <c r="N38" s="401"/>
      <c r="O38" s="21"/>
      <c r="P38" s="406"/>
      <c r="Q38" s="431"/>
      <c r="R38" s="412"/>
      <c r="S38" s="406"/>
      <c r="T38" s="415"/>
      <c r="U38" s="430">
        <f>Q37+Y40</f>
        <v>4.0465116279069768</v>
      </c>
      <c r="V38" s="199"/>
      <c r="W38" s="184"/>
      <c r="X38" s="184"/>
      <c r="Y38" s="94">
        <v>6</v>
      </c>
      <c r="Z38" s="94"/>
      <c r="AA38" s="174"/>
      <c r="AB38" s="79" t="s">
        <v>51</v>
      </c>
    </row>
    <row r="39" spans="1:29" ht="21" customHeight="1">
      <c r="A39" s="399"/>
      <c r="B39" s="424"/>
      <c r="C39" s="420" t="s">
        <v>19</v>
      </c>
      <c r="D39" s="421" t="s">
        <v>17</v>
      </c>
      <c r="E39" s="329"/>
      <c r="F39" s="440">
        <v>1740</v>
      </c>
      <c r="G39" s="329"/>
      <c r="H39" s="329"/>
      <c r="I39" s="21"/>
      <c r="J39" s="433">
        <f>$F39*J$4</f>
        <v>783</v>
      </c>
      <c r="K39" s="433">
        <f>$F39*K$4</f>
        <v>466.84199999999998</v>
      </c>
      <c r="L39" s="433">
        <f>$F39*L$4</f>
        <v>466.14600000000007</v>
      </c>
      <c r="M39" s="433">
        <f>$F39*M$4</f>
        <v>24.012</v>
      </c>
      <c r="N39" s="433">
        <f>$F39*N$4</f>
        <v>12.876000000000001</v>
      </c>
      <c r="O39" s="21"/>
      <c r="P39" s="406"/>
      <c r="Q39" s="431"/>
      <c r="R39" s="412"/>
      <c r="S39" s="406"/>
      <c r="T39" s="415"/>
      <c r="U39" s="431"/>
      <c r="V39" s="199"/>
      <c r="W39" s="184"/>
      <c r="X39" s="215"/>
      <c r="Y39" s="184"/>
      <c r="Z39" s="184"/>
      <c r="AA39" s="169"/>
      <c r="AB39" s="130"/>
    </row>
    <row r="40" spans="1:29" ht="21" customHeight="1" thickBot="1">
      <c r="A40" s="399"/>
      <c r="B40" s="425"/>
      <c r="C40" s="407"/>
      <c r="D40" s="422"/>
      <c r="E40" s="22"/>
      <c r="F40" s="443"/>
      <c r="G40" s="22"/>
      <c r="H40" s="22"/>
      <c r="I40" s="23"/>
      <c r="J40" s="444"/>
      <c r="K40" s="444"/>
      <c r="L40" s="444"/>
      <c r="M40" s="444"/>
      <c r="N40" s="444"/>
      <c r="O40" s="23"/>
      <c r="P40" s="407"/>
      <c r="Q40" s="432"/>
      <c r="R40" s="413"/>
      <c r="S40" s="407"/>
      <c r="T40" s="416"/>
      <c r="U40" s="432"/>
      <c r="V40" s="219"/>
      <c r="W40" s="189"/>
      <c r="X40" s="189"/>
      <c r="Y40" s="189"/>
      <c r="Z40" s="189"/>
      <c r="AA40" s="190"/>
      <c r="AB40" s="143"/>
      <c r="AC40" s="177">
        <f>+Q37+V37+Y38</f>
        <v>12.046511627906977</v>
      </c>
    </row>
    <row r="41" spans="1:29" ht="21" customHeight="1" thickTop="1">
      <c r="A41" s="399" t="s">
        <v>21</v>
      </c>
      <c r="B41" s="423">
        <v>42885</v>
      </c>
      <c r="C41" s="405" t="s">
        <v>16</v>
      </c>
      <c r="D41" s="435" t="s">
        <v>22</v>
      </c>
      <c r="E41" s="329"/>
      <c r="F41" s="437">
        <v>2160</v>
      </c>
      <c r="G41" s="329"/>
      <c r="H41" s="329"/>
      <c r="I41" s="402"/>
      <c r="J41" s="428">
        <f>$F41*J$4</f>
        <v>972</v>
      </c>
      <c r="K41" s="428">
        <f>$F41*K$4</f>
        <v>579.52800000000002</v>
      </c>
      <c r="L41" s="428">
        <f>$F41*L$4</f>
        <v>578.6640000000001</v>
      </c>
      <c r="M41" s="428">
        <f>$F41*M$4</f>
        <v>29.808</v>
      </c>
      <c r="N41" s="428">
        <f>$F41*N$4</f>
        <v>15.984</v>
      </c>
      <c r="O41" s="402"/>
      <c r="P41" s="405">
        <f>F41+F43</f>
        <v>4800</v>
      </c>
      <c r="Q41" s="408">
        <f>P41*$R$7/$D$5</f>
        <v>11.162790697674419</v>
      </c>
      <c r="R41" s="411">
        <f>Q41/$R$7</f>
        <v>0.46511627906976744</v>
      </c>
      <c r="S41" s="405">
        <f>$D$5-P41</f>
        <v>5520</v>
      </c>
      <c r="T41" s="414">
        <f>S41/$D$5</f>
        <v>0.53488372093023251</v>
      </c>
      <c r="U41" s="320"/>
      <c r="V41" s="220"/>
      <c r="W41" s="185"/>
      <c r="X41" s="185"/>
      <c r="Y41" s="185"/>
      <c r="Z41" s="185"/>
      <c r="AA41" s="171"/>
      <c r="AB41" s="89"/>
      <c r="AC41" s="177"/>
    </row>
    <row r="42" spans="1:29" ht="21" customHeight="1">
      <c r="A42" s="399"/>
      <c r="B42" s="424"/>
      <c r="C42" s="426"/>
      <c r="D42" s="436"/>
      <c r="E42" s="329"/>
      <c r="F42" s="438"/>
      <c r="G42" s="329"/>
      <c r="H42" s="329"/>
      <c r="I42" s="403"/>
      <c r="J42" s="429"/>
      <c r="K42" s="429"/>
      <c r="L42" s="429"/>
      <c r="M42" s="429"/>
      <c r="N42" s="429"/>
      <c r="O42" s="403"/>
      <c r="P42" s="406"/>
      <c r="Q42" s="409"/>
      <c r="R42" s="412"/>
      <c r="S42" s="406"/>
      <c r="T42" s="415"/>
      <c r="U42" s="430">
        <f>Q41+Y42+Y44</f>
        <v>11.162790697674419</v>
      </c>
      <c r="V42" s="103">
        <v>2</v>
      </c>
      <c r="W42" s="187"/>
      <c r="X42" s="187"/>
      <c r="Y42" s="187"/>
      <c r="Z42" s="187"/>
      <c r="AA42" s="188"/>
      <c r="AB42" s="102" t="s">
        <v>77</v>
      </c>
      <c r="AC42" s="177"/>
    </row>
    <row r="43" spans="1:29" ht="21" customHeight="1">
      <c r="A43" s="399"/>
      <c r="B43" s="424"/>
      <c r="C43" s="420" t="s">
        <v>19</v>
      </c>
      <c r="D43" s="421" t="s">
        <v>17</v>
      </c>
      <c r="E43" s="329"/>
      <c r="F43" s="440">
        <v>2640</v>
      </c>
      <c r="G43" s="329"/>
      <c r="H43" s="329"/>
      <c r="I43" s="403"/>
      <c r="J43" s="433">
        <f>$F43*J$4</f>
        <v>1188</v>
      </c>
      <c r="K43" s="433">
        <f>$F43*K$4</f>
        <v>708.3119999999999</v>
      </c>
      <c r="L43" s="433">
        <f>$F43*L$4</f>
        <v>707.25600000000009</v>
      </c>
      <c r="M43" s="433">
        <f>$F43*M$4</f>
        <v>36.432000000000002</v>
      </c>
      <c r="N43" s="433">
        <f>$F43*N$4</f>
        <v>19.536000000000001</v>
      </c>
      <c r="O43" s="403"/>
      <c r="P43" s="406"/>
      <c r="Q43" s="409"/>
      <c r="R43" s="412"/>
      <c r="S43" s="406"/>
      <c r="T43" s="415"/>
      <c r="U43" s="431"/>
      <c r="V43" s="199"/>
      <c r="W43" s="184"/>
      <c r="X43" s="215"/>
      <c r="Y43" s="215"/>
      <c r="Z43" s="184"/>
      <c r="AA43" s="80">
        <v>3</v>
      </c>
      <c r="AB43" s="132" t="s">
        <v>52</v>
      </c>
      <c r="AC43" s="177"/>
    </row>
    <row r="44" spans="1:29" ht="22.5" customHeight="1" thickBot="1">
      <c r="A44" s="399"/>
      <c r="B44" s="425"/>
      <c r="C44" s="407"/>
      <c r="D44" s="439"/>
      <c r="E44" s="22"/>
      <c r="F44" s="441"/>
      <c r="G44" s="22"/>
      <c r="H44" s="22"/>
      <c r="I44" s="404"/>
      <c r="J44" s="434"/>
      <c r="K44" s="434"/>
      <c r="L44" s="434"/>
      <c r="M44" s="434"/>
      <c r="N44" s="434"/>
      <c r="O44" s="404"/>
      <c r="P44" s="407"/>
      <c r="Q44" s="410"/>
      <c r="R44" s="413"/>
      <c r="S44" s="407"/>
      <c r="T44" s="416"/>
      <c r="U44" s="432"/>
      <c r="V44" s="201"/>
      <c r="W44" s="197"/>
      <c r="X44" s="197"/>
      <c r="Y44" s="197"/>
      <c r="Z44" s="189"/>
      <c r="AA44" s="76">
        <v>8</v>
      </c>
      <c r="AB44" s="98" t="s">
        <v>53</v>
      </c>
      <c r="AC44" s="177">
        <f>Q41+V42+Y43+Y44+AA43+AA44</f>
        <v>24.162790697674417</v>
      </c>
    </row>
    <row r="45" spans="1:29" ht="22.5" customHeight="1" thickTop="1" thickBot="1">
      <c r="A45" s="399" t="s">
        <v>23</v>
      </c>
      <c r="B45" s="423">
        <v>42886</v>
      </c>
      <c r="C45" s="405" t="s">
        <v>16</v>
      </c>
      <c r="D45" s="397" t="s">
        <v>22</v>
      </c>
      <c r="E45" s="329"/>
      <c r="F45" s="427"/>
      <c r="G45" s="329"/>
      <c r="H45" s="329"/>
      <c r="I45" s="402"/>
      <c r="J45" s="400">
        <f>$F45*J$4</f>
        <v>0</v>
      </c>
      <c r="K45" s="400">
        <f>$F45*K$4</f>
        <v>0</v>
      </c>
      <c r="L45" s="400">
        <f>$F45*L$4</f>
        <v>0</v>
      </c>
      <c r="M45" s="400">
        <f>$F45*M$4</f>
        <v>0</v>
      </c>
      <c r="N45" s="400">
        <f>$F45*N$4</f>
        <v>0</v>
      </c>
      <c r="O45" s="402"/>
      <c r="P45" s="405">
        <f>F47+G48</f>
        <v>1740</v>
      </c>
      <c r="Q45" s="408">
        <f>P45*$R$7/$D$5</f>
        <v>4.0465116279069768</v>
      </c>
      <c r="R45" s="411">
        <f>Q45/$R$7</f>
        <v>0.16860465116279069</v>
      </c>
      <c r="S45" s="405">
        <f>$D$5-P45</f>
        <v>8580</v>
      </c>
      <c r="T45" s="414">
        <f>S45/$D$5</f>
        <v>0.83139534883720934</v>
      </c>
      <c r="U45" s="320"/>
      <c r="V45" s="220"/>
      <c r="W45" s="185"/>
      <c r="X45" s="185"/>
      <c r="Y45" s="185"/>
      <c r="Z45" s="185"/>
      <c r="AA45" s="185"/>
      <c r="AB45" s="89"/>
      <c r="AC45" s="177"/>
    </row>
    <row r="46" spans="1:29" ht="22.5" customHeight="1" thickTop="1">
      <c r="A46" s="399"/>
      <c r="B46" s="424"/>
      <c r="C46" s="426"/>
      <c r="D46" s="398"/>
      <c r="E46" s="329"/>
      <c r="F46" s="398"/>
      <c r="G46" s="329"/>
      <c r="H46" s="329"/>
      <c r="I46" s="403"/>
      <c r="J46" s="401"/>
      <c r="K46" s="401"/>
      <c r="L46" s="401"/>
      <c r="M46" s="401"/>
      <c r="N46" s="401"/>
      <c r="O46" s="403"/>
      <c r="P46" s="406"/>
      <c r="Q46" s="409"/>
      <c r="R46" s="412"/>
      <c r="S46" s="406"/>
      <c r="T46" s="415"/>
      <c r="U46" s="417"/>
      <c r="V46" s="199"/>
      <c r="W46" s="184"/>
      <c r="X46" s="215"/>
      <c r="Y46" s="215"/>
      <c r="Z46" s="184"/>
      <c r="AA46" s="184"/>
      <c r="AB46" s="82"/>
      <c r="AC46" s="177"/>
    </row>
    <row r="47" spans="1:29" ht="22.5" customHeight="1">
      <c r="A47" s="399"/>
      <c r="B47" s="424"/>
      <c r="C47" s="420" t="s">
        <v>19</v>
      </c>
      <c r="D47" s="421" t="s">
        <v>17</v>
      </c>
      <c r="E47" s="329"/>
      <c r="F47" s="318">
        <v>540</v>
      </c>
      <c r="G47" s="329"/>
      <c r="H47" s="329"/>
      <c r="I47" s="403"/>
      <c r="J47" s="133">
        <f>$F47*J$4</f>
        <v>243</v>
      </c>
      <c r="K47" s="133">
        <f>$F47*K$4</f>
        <v>144.88200000000001</v>
      </c>
      <c r="L47" s="133">
        <f>$F47*L$4</f>
        <v>144.66600000000003</v>
      </c>
      <c r="M47" s="133">
        <f>$F47*M$4</f>
        <v>7.452</v>
      </c>
      <c r="N47" s="133">
        <f>$F47*N$4</f>
        <v>3.996</v>
      </c>
      <c r="O47" s="403"/>
      <c r="P47" s="406"/>
      <c r="Q47" s="409"/>
      <c r="R47" s="412"/>
      <c r="S47" s="406"/>
      <c r="T47" s="415"/>
      <c r="U47" s="418"/>
      <c r="V47" s="199"/>
      <c r="W47" s="184"/>
      <c r="X47" s="215"/>
      <c r="Y47" s="215"/>
      <c r="Z47" s="184"/>
      <c r="AA47" s="80">
        <v>12</v>
      </c>
      <c r="AB47" s="132" t="s">
        <v>54</v>
      </c>
      <c r="AC47" s="177"/>
    </row>
    <row r="48" spans="1:29" ht="22.5" customHeight="1" thickBot="1">
      <c r="A48" s="399"/>
      <c r="B48" s="425"/>
      <c r="C48" s="407"/>
      <c r="D48" s="422"/>
      <c r="E48" s="22"/>
      <c r="F48" s="22"/>
      <c r="G48" s="134">
        <v>1200</v>
      </c>
      <c r="H48" s="22"/>
      <c r="I48" s="404"/>
      <c r="J48" s="326">
        <f>$G48*J$5</f>
        <v>540</v>
      </c>
      <c r="K48" s="135">
        <f t="shared" ref="K48:M48" si="3">$G48*K$5</f>
        <v>321.95999999999998</v>
      </c>
      <c r="L48" s="135">
        <f t="shared" si="3"/>
        <v>321.48</v>
      </c>
      <c r="M48" s="135">
        <f t="shared" si="3"/>
        <v>16.559999999999999</v>
      </c>
      <c r="N48" s="136"/>
      <c r="O48" s="404"/>
      <c r="P48" s="407"/>
      <c r="Q48" s="410"/>
      <c r="R48" s="413"/>
      <c r="S48" s="407"/>
      <c r="T48" s="416"/>
      <c r="U48" s="419"/>
      <c r="V48" s="201"/>
      <c r="W48" s="197"/>
      <c r="X48" s="197"/>
      <c r="Y48" s="197"/>
      <c r="Z48" s="186"/>
      <c r="AA48" s="99">
        <v>8</v>
      </c>
      <c r="AB48" s="98" t="s">
        <v>55</v>
      </c>
      <c r="AC48" s="177">
        <f>SUM(V45:AA48)+Q45</f>
        <v>24.046511627906977</v>
      </c>
    </row>
    <row r="49" spans="2:28" ht="15.75" thickTop="1">
      <c r="B49" s="482" t="s">
        <v>36</v>
      </c>
      <c r="C49" s="482"/>
      <c r="D49" s="482"/>
      <c r="J49" s="480">
        <f>SUM(J10:J48)</f>
        <v>25465.103999999999</v>
      </c>
      <c r="K49" s="480">
        <f t="shared" ref="K49:N49" si="4">SUM(K10:K48)</f>
        <v>17604.12</v>
      </c>
      <c r="L49" s="480">
        <f t="shared" si="4"/>
        <v>14595.407999999999</v>
      </c>
      <c r="M49" s="480">
        <f t="shared" si="4"/>
        <v>775.36799999999994</v>
      </c>
      <c r="N49" s="480">
        <f t="shared" si="4"/>
        <v>271.72800000000007</v>
      </c>
      <c r="Q49" s="75"/>
    </row>
    <row r="50" spans="2:28" ht="21" customHeight="1">
      <c r="B50" s="483"/>
      <c r="C50" s="483"/>
      <c r="D50" s="483"/>
      <c r="E50" s="52">
        <f>SUM(E11:E48)</f>
        <v>10800</v>
      </c>
      <c r="F50" s="53">
        <f>SUM(F10:F48)</f>
        <v>36720</v>
      </c>
      <c r="G50" s="54">
        <f>SUM(G11:G48)</f>
        <v>1200</v>
      </c>
      <c r="H50" s="55">
        <f>SUM(H11:H48)</f>
        <v>9720</v>
      </c>
      <c r="I50" s="48"/>
      <c r="J50" s="481"/>
      <c r="K50" s="481"/>
      <c r="L50" s="481"/>
      <c r="M50" s="481"/>
      <c r="N50" s="481"/>
      <c r="O50" s="48">
        <f>SUM(O11:O36)</f>
        <v>0</v>
      </c>
      <c r="Q50" s="71">
        <f>SUM(Q10:Q48)</f>
        <v>135.90697674418604</v>
      </c>
      <c r="R50" s="74"/>
      <c r="T50" s="73" t="s">
        <v>35</v>
      </c>
      <c r="U50" s="72"/>
      <c r="V50" s="71">
        <f>SUM(V10:V48)</f>
        <v>8.25</v>
      </c>
      <c r="W50" s="71">
        <f t="shared" ref="W50:AA50" si="5">SUM(W10:W48)</f>
        <v>0</v>
      </c>
      <c r="X50" s="71">
        <f t="shared" si="5"/>
        <v>4.25</v>
      </c>
      <c r="Y50" s="71">
        <f t="shared" si="5"/>
        <v>14</v>
      </c>
      <c r="Z50" s="71">
        <f t="shared" si="5"/>
        <v>7.5</v>
      </c>
      <c r="AA50" s="71">
        <f t="shared" si="5"/>
        <v>34.75</v>
      </c>
      <c r="AB50" s="48" t="s">
        <v>29</v>
      </c>
    </row>
    <row r="51" spans="2:28" ht="23.25">
      <c r="C51" s="49" t="s">
        <v>30</v>
      </c>
      <c r="D51" s="50"/>
      <c r="E51" s="484">
        <f>E50+F50+G50+H50</f>
        <v>58440</v>
      </c>
      <c r="F51" s="484"/>
      <c r="G51" s="484"/>
      <c r="H51" s="484"/>
      <c r="R51" s="212">
        <f>AVERAGE(R10:R33)</f>
        <v>0.81007751937984507</v>
      </c>
      <c r="U51" s="70"/>
      <c r="V51" s="70"/>
      <c r="W51" s="70"/>
      <c r="X51" s="70"/>
      <c r="Y51" s="69"/>
      <c r="Z51" s="69"/>
      <c r="AA51" s="69"/>
    </row>
    <row r="52" spans="2:28" ht="18.75" customHeight="1">
      <c r="Q52" s="68" t="s">
        <v>34</v>
      </c>
      <c r="S52" s="456">
        <f>J57*J58*J59</f>
        <v>0.66463414634146345</v>
      </c>
      <c r="T52" s="456"/>
      <c r="V52" s="74"/>
    </row>
    <row r="53" spans="2:28" ht="23.25">
      <c r="F53" s="309"/>
      <c r="R53" s="68" t="s">
        <v>33</v>
      </c>
      <c r="U53" s="67">
        <f>V50/E3</f>
        <v>3.4375000000000003E-2</v>
      </c>
      <c r="V53" s="66">
        <f>V50/E4</f>
        <v>4.0243902439024391E-2</v>
      </c>
      <c r="W53" s="66">
        <f>W50/E3</f>
        <v>0</v>
      </c>
      <c r="X53" s="66">
        <f>X50/E4</f>
        <v>2.0731707317073172E-2</v>
      </c>
      <c r="Y53" s="66">
        <f>Y50/E4</f>
        <v>6.8292682926829273E-2</v>
      </c>
      <c r="Z53" s="66">
        <f>Z50/E4</f>
        <v>3.6585365853658534E-2</v>
      </c>
      <c r="AA53" s="66">
        <f>+AA50/E4</f>
        <v>0.16951219512195123</v>
      </c>
    </row>
    <row r="55" spans="2:28">
      <c r="K55" s="62"/>
      <c r="AB55" s="156"/>
    </row>
    <row r="56" spans="2:28">
      <c r="F56" s="64"/>
      <c r="I56" s="5"/>
      <c r="J56"/>
      <c r="T56" s="455"/>
      <c r="U56" s="455"/>
      <c r="V56" s="455"/>
      <c r="AA56" s="212"/>
      <c r="AB56" s="157"/>
    </row>
    <row r="57" spans="2:28" ht="15.75">
      <c r="D57" s="64" t="s">
        <v>88</v>
      </c>
      <c r="E57">
        <v>205</v>
      </c>
      <c r="G57" s="162" t="s">
        <v>68</v>
      </c>
      <c r="H57" s="65"/>
      <c r="J57" s="158">
        <f>+E58/E57</f>
        <v>1</v>
      </c>
      <c r="K57" s="65"/>
    </row>
    <row r="58" spans="2:28" ht="15.75">
      <c r="D58" s="64" t="s">
        <v>67</v>
      </c>
      <c r="E58" s="63">
        <f>E57-W50</f>
        <v>205</v>
      </c>
      <c r="G58" s="162" t="s">
        <v>69</v>
      </c>
      <c r="H58" s="5"/>
      <c r="J58" s="158">
        <f>+E59/E58</f>
        <v>0.68536585365853664</v>
      </c>
      <c r="M58"/>
      <c r="P58"/>
      <c r="Q58"/>
      <c r="R58"/>
      <c r="S58"/>
      <c r="T58" s="454"/>
      <c r="U58" s="454"/>
      <c r="V58" s="454"/>
      <c r="W58"/>
      <c r="X58"/>
      <c r="Y58"/>
      <c r="Z58"/>
      <c r="AA58"/>
    </row>
    <row r="59" spans="2:28" ht="15.75">
      <c r="D59" s="64" t="s">
        <v>66</v>
      </c>
      <c r="E59" s="63">
        <f>+E58-V50-Y50-Z50-AA50</f>
        <v>140.5</v>
      </c>
      <c r="G59" s="162" t="s">
        <v>89</v>
      </c>
      <c r="H59" s="60"/>
      <c r="J59" s="158">
        <f>+E60/E59</f>
        <v>0.96975088967971534</v>
      </c>
      <c r="M59"/>
      <c r="P59"/>
      <c r="Q59"/>
      <c r="R59"/>
      <c r="S59"/>
      <c r="T59"/>
      <c r="U59"/>
      <c r="V59"/>
      <c r="W59"/>
      <c r="X59"/>
      <c r="Y59"/>
      <c r="Z59"/>
      <c r="AA59"/>
    </row>
    <row r="60" spans="2:28">
      <c r="D60" s="64" t="s">
        <v>70</v>
      </c>
      <c r="E60" s="63">
        <f>E59-X50</f>
        <v>136.25</v>
      </c>
      <c r="M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2:28">
      <c r="H61" s="59"/>
      <c r="J61"/>
      <c r="K61"/>
      <c r="L61"/>
      <c r="M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2:28">
      <c r="H62" s="59"/>
      <c r="J62"/>
      <c r="K62"/>
      <c r="L62"/>
      <c r="M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2:28">
      <c r="H63" s="58"/>
      <c r="J63"/>
      <c r="K63"/>
      <c r="L63"/>
      <c r="M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2:28">
      <c r="J64"/>
      <c r="L64" s="65"/>
    </row>
    <row r="65" spans="4:28">
      <c r="J65"/>
    </row>
    <row r="66" spans="4:28" ht="15.75">
      <c r="D66" s="64"/>
      <c r="G66" s="162"/>
      <c r="J66"/>
      <c r="L66" s="65"/>
    </row>
    <row r="67" spans="4:28" ht="18">
      <c r="D67" s="64"/>
      <c r="E67" s="63"/>
      <c r="G67" s="162"/>
      <c r="H67" s="51"/>
      <c r="AB67"/>
    </row>
    <row r="68" spans="4:28" ht="15.75">
      <c r="D68" s="64"/>
      <c r="E68" s="63"/>
      <c r="G68" s="162"/>
      <c r="L68" s="160"/>
    </row>
    <row r="69" spans="4:28">
      <c r="D69" s="64"/>
      <c r="E69" s="63"/>
    </row>
  </sheetData>
  <mergeCells count="244">
    <mergeCell ref="O31:O32"/>
    <mergeCell ref="P31:P34"/>
    <mergeCell ref="Q31:Q34"/>
    <mergeCell ref="R31:R34"/>
    <mergeCell ref="S31:S34"/>
    <mergeCell ref="T31:T34"/>
    <mergeCell ref="K27:K28"/>
    <mergeCell ref="L27:L28"/>
    <mergeCell ref="M27:M28"/>
    <mergeCell ref="N27:N28"/>
    <mergeCell ref="P27:P30"/>
    <mergeCell ref="AB25:AB26"/>
    <mergeCell ref="C27:C28"/>
    <mergeCell ref="D27:D28"/>
    <mergeCell ref="E27:E28"/>
    <mergeCell ref="F27:F28"/>
    <mergeCell ref="H27:H28"/>
    <mergeCell ref="J27:J28"/>
    <mergeCell ref="K24:K25"/>
    <mergeCell ref="L24:L25"/>
    <mergeCell ref="M24:M25"/>
    <mergeCell ref="N24:N25"/>
    <mergeCell ref="R27:R30"/>
    <mergeCell ref="S27:S30"/>
    <mergeCell ref="T27:T30"/>
    <mergeCell ref="Q27:Q30"/>
    <mergeCell ref="Q22:Q26"/>
    <mergeCell ref="J24:J25"/>
    <mergeCell ref="S22:S26"/>
    <mergeCell ref="T22:T26"/>
    <mergeCell ref="C22:C23"/>
    <mergeCell ref="D22:D23"/>
    <mergeCell ref="F22:F23"/>
    <mergeCell ref="J22:J23"/>
    <mergeCell ref="R22:R26"/>
    <mergeCell ref="O22:O26"/>
    <mergeCell ref="I14:I17"/>
    <mergeCell ref="I22:I23"/>
    <mergeCell ref="K22:K23"/>
    <mergeCell ref="L22:L23"/>
    <mergeCell ref="M22:M23"/>
    <mergeCell ref="N22:N23"/>
    <mergeCell ref="P22:P26"/>
    <mergeCell ref="D16:D17"/>
    <mergeCell ref="N18:N19"/>
    <mergeCell ref="T14:T17"/>
    <mergeCell ref="J16:J17"/>
    <mergeCell ref="K16:K17"/>
    <mergeCell ref="L16:L17"/>
    <mergeCell ref="M16:M17"/>
    <mergeCell ref="N16:N17"/>
    <mergeCell ref="P14:P17"/>
    <mergeCell ref="F14:F15"/>
    <mergeCell ref="F18:F19"/>
    <mergeCell ref="Q18:Q21"/>
    <mergeCell ref="R18:R21"/>
    <mergeCell ref="S18:S21"/>
    <mergeCell ref="T18:T21"/>
    <mergeCell ref="P18:P21"/>
    <mergeCell ref="F16:F17"/>
    <mergeCell ref="J18:J19"/>
    <mergeCell ref="K18:K19"/>
    <mergeCell ref="L18:L19"/>
    <mergeCell ref="M18:M19"/>
    <mergeCell ref="B8:B9"/>
    <mergeCell ref="C8:C9"/>
    <mergeCell ref="D8:D9"/>
    <mergeCell ref="O8:O9"/>
    <mergeCell ref="J8:N8"/>
    <mergeCell ref="A35:A36"/>
    <mergeCell ref="B22:B26"/>
    <mergeCell ref="B27:B30"/>
    <mergeCell ref="B31:B34"/>
    <mergeCell ref="F20:F21"/>
    <mergeCell ref="B18:B21"/>
    <mergeCell ref="A18:A21"/>
    <mergeCell ref="C18:C19"/>
    <mergeCell ref="C20:C21"/>
    <mergeCell ref="D20:D21"/>
    <mergeCell ref="D18:D19"/>
    <mergeCell ref="D14:D15"/>
    <mergeCell ref="C14:C15"/>
    <mergeCell ref="B14:B17"/>
    <mergeCell ref="A14:A17"/>
    <mergeCell ref="C16:C17"/>
    <mergeCell ref="C24:C26"/>
    <mergeCell ref="D24:D26"/>
    <mergeCell ref="F24:F25"/>
    <mergeCell ref="N49:N50"/>
    <mergeCell ref="B49:D50"/>
    <mergeCell ref="J49:J50"/>
    <mergeCell ref="K49:K50"/>
    <mergeCell ref="L49:L50"/>
    <mergeCell ref="M49:M50"/>
    <mergeCell ref="E51:H51"/>
    <mergeCell ref="C29:C30"/>
    <mergeCell ref="D29:D30"/>
    <mergeCell ref="B35:B36"/>
    <mergeCell ref="C33:C34"/>
    <mergeCell ref="D33:D34"/>
    <mergeCell ref="J31:J32"/>
    <mergeCell ref="I31:I32"/>
    <mergeCell ref="K31:K32"/>
    <mergeCell ref="C31:C32"/>
    <mergeCell ref="D31:D32"/>
    <mergeCell ref="E31:E32"/>
    <mergeCell ref="F31:F32"/>
    <mergeCell ref="G31:G32"/>
    <mergeCell ref="H31:H32"/>
    <mergeCell ref="L31:L32"/>
    <mergeCell ref="M31:M32"/>
    <mergeCell ref="N31:N32"/>
    <mergeCell ref="G3:H3"/>
    <mergeCell ref="G4:H4"/>
    <mergeCell ref="G5:H5"/>
    <mergeCell ref="G6:H6"/>
    <mergeCell ref="R8:R9"/>
    <mergeCell ref="S8:T8"/>
    <mergeCell ref="Q35:Q36"/>
    <mergeCell ref="E8:H8"/>
    <mergeCell ref="U32:U34"/>
    <mergeCell ref="U28:U30"/>
    <mergeCell ref="U19:U21"/>
    <mergeCell ref="J14:J15"/>
    <mergeCell ref="K14:K15"/>
    <mergeCell ref="L14:L15"/>
    <mergeCell ref="M14:M15"/>
    <mergeCell ref="N14:N15"/>
    <mergeCell ref="Q14:Q17"/>
    <mergeCell ref="R14:R17"/>
    <mergeCell ref="S14:S17"/>
    <mergeCell ref="J20:J21"/>
    <mergeCell ref="K20:K21"/>
    <mergeCell ref="L20:L21"/>
    <mergeCell ref="M20:M21"/>
    <mergeCell ref="N20:N21"/>
    <mergeCell ref="K12:K13"/>
    <mergeCell ref="L12:L13"/>
    <mergeCell ref="M12:M13"/>
    <mergeCell ref="N12:N13"/>
    <mergeCell ref="P10:P13"/>
    <mergeCell ref="K10:K11"/>
    <mergeCell ref="L10:L11"/>
    <mergeCell ref="M10:M11"/>
    <mergeCell ref="N10:N11"/>
    <mergeCell ref="V8:AA8"/>
    <mergeCell ref="F12:F13"/>
    <mergeCell ref="R35:R36"/>
    <mergeCell ref="P35:P36"/>
    <mergeCell ref="T58:V58"/>
    <mergeCell ref="T56:V56"/>
    <mergeCell ref="S52:T52"/>
    <mergeCell ref="B10:B13"/>
    <mergeCell ref="C10:C11"/>
    <mergeCell ref="C12:C13"/>
    <mergeCell ref="D10:D11"/>
    <mergeCell ref="D12:D13"/>
    <mergeCell ref="F10:F11"/>
    <mergeCell ref="J10:J11"/>
    <mergeCell ref="Q10:Q13"/>
    <mergeCell ref="R10:R13"/>
    <mergeCell ref="U11:U13"/>
    <mergeCell ref="U15:U17"/>
    <mergeCell ref="U23:U26"/>
    <mergeCell ref="S35:S36"/>
    <mergeCell ref="T35:T36"/>
    <mergeCell ref="S10:S13"/>
    <mergeCell ref="T10:T13"/>
    <mergeCell ref="J12:J13"/>
    <mergeCell ref="B37:B40"/>
    <mergeCell ref="C37:C38"/>
    <mergeCell ref="F37:F38"/>
    <mergeCell ref="J37:J38"/>
    <mergeCell ref="K37:K38"/>
    <mergeCell ref="L37:L38"/>
    <mergeCell ref="M37:M38"/>
    <mergeCell ref="N37:N38"/>
    <mergeCell ref="P37:P40"/>
    <mergeCell ref="Q37:Q40"/>
    <mergeCell ref="R37:R40"/>
    <mergeCell ref="S37:S40"/>
    <mergeCell ref="T37:T40"/>
    <mergeCell ref="U38:U40"/>
    <mergeCell ref="C39:C40"/>
    <mergeCell ref="D39:D40"/>
    <mergeCell ref="F39:F40"/>
    <mergeCell ref="J39:J40"/>
    <mergeCell ref="K39:K40"/>
    <mergeCell ref="L39:L40"/>
    <mergeCell ref="M39:M40"/>
    <mergeCell ref="N39:N40"/>
    <mergeCell ref="S41:S44"/>
    <mergeCell ref="T41:T44"/>
    <mergeCell ref="U42:U44"/>
    <mergeCell ref="M43:M44"/>
    <mergeCell ref="N43:N44"/>
    <mergeCell ref="A41:A44"/>
    <mergeCell ref="B41:B44"/>
    <mergeCell ref="C41:C42"/>
    <mergeCell ref="D41:D42"/>
    <mergeCell ref="F41:F42"/>
    <mergeCell ref="I41:I44"/>
    <mergeCell ref="J41:J42"/>
    <mergeCell ref="K41:K42"/>
    <mergeCell ref="L41:L42"/>
    <mergeCell ref="C43:C44"/>
    <mergeCell ref="D43:D44"/>
    <mergeCell ref="F43:F44"/>
    <mergeCell ref="J43:J44"/>
    <mergeCell ref="K43:K44"/>
    <mergeCell ref="L43:L44"/>
    <mergeCell ref="K45:K46"/>
    <mergeCell ref="L45:L46"/>
    <mergeCell ref="M45:M46"/>
    <mergeCell ref="M41:M42"/>
    <mergeCell ref="N41:N42"/>
    <mergeCell ref="O41:O44"/>
    <mergeCell ref="P41:P44"/>
    <mergeCell ref="Q41:Q44"/>
    <mergeCell ref="R41:R44"/>
    <mergeCell ref="V35:AA36"/>
    <mergeCell ref="C35:N36"/>
    <mergeCell ref="D45:D46"/>
    <mergeCell ref="A10:A13"/>
    <mergeCell ref="A22:A26"/>
    <mergeCell ref="A27:A30"/>
    <mergeCell ref="A31:A34"/>
    <mergeCell ref="A37:A40"/>
    <mergeCell ref="N45:N46"/>
    <mergeCell ref="O45:O48"/>
    <mergeCell ref="P45:P48"/>
    <mergeCell ref="Q45:Q48"/>
    <mergeCell ref="R45:R48"/>
    <mergeCell ref="S45:S48"/>
    <mergeCell ref="T45:T48"/>
    <mergeCell ref="U46:U48"/>
    <mergeCell ref="C47:C48"/>
    <mergeCell ref="D47:D48"/>
    <mergeCell ref="A45:A48"/>
    <mergeCell ref="B45:B48"/>
    <mergeCell ref="C45:C46"/>
    <mergeCell ref="F45:F46"/>
    <mergeCell ref="I45:I48"/>
    <mergeCell ref="J45:J4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49"/>
  <sheetViews>
    <sheetView showGridLines="0" tabSelected="1" zoomScale="80" zoomScaleNormal="80" workbookViewId="0">
      <pane ySplit="9" topLeftCell="A10" activePane="bottomLeft" state="frozen"/>
      <selection activeCell="C1" sqref="C1"/>
      <selection pane="bottomLeft" activeCell="M136" sqref="M136"/>
    </sheetView>
  </sheetViews>
  <sheetFormatPr baseColWidth="10" defaultRowHeight="15"/>
  <cols>
    <col min="1" max="1" width="6" customWidth="1"/>
    <col min="2" max="2" width="10.28515625" customWidth="1"/>
    <col min="4" max="4" width="14.7109375" customWidth="1"/>
    <col min="5" max="7" width="8.5703125" customWidth="1"/>
    <col min="8" max="8" width="9.5703125" customWidth="1"/>
    <col min="9" max="9" width="1.140625" customWidth="1"/>
    <col min="10" max="10" width="14.42578125" style="5" customWidth="1"/>
    <col min="11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7" width="11" style="3" customWidth="1"/>
    <col min="28" max="28" width="11" style="4" customWidth="1"/>
    <col min="29" max="29" width="11" customWidth="1"/>
    <col min="30" max="30" width="54.5703125" customWidth="1"/>
  </cols>
  <sheetData>
    <row r="1" spans="1:31">
      <c r="L1"/>
      <c r="M1"/>
    </row>
    <row r="2" spans="1:31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26"/>
      <c r="Q2" s="125"/>
      <c r="S2" s="119"/>
      <c r="T2" s="119"/>
      <c r="U2" s="125"/>
      <c r="V2" s="125"/>
      <c r="W2" s="125"/>
      <c r="X2" s="125"/>
      <c r="Y2" s="125"/>
      <c r="Z2" s="125"/>
      <c r="AA2" s="125"/>
    </row>
    <row r="3" spans="1:31" ht="15.75" customHeight="1">
      <c r="B3" t="s">
        <v>65</v>
      </c>
      <c r="D3" s="152"/>
      <c r="E3" s="153">
        <f>30*24</f>
        <v>720</v>
      </c>
      <c r="F3" t="s">
        <v>64</v>
      </c>
      <c r="G3" s="468" t="str">
        <f>E9</f>
        <v>PVC Isolat°</v>
      </c>
      <c r="H3" s="468"/>
      <c r="I3" s="124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69"/>
      <c r="Q3" s="123"/>
      <c r="R3" s="7"/>
      <c r="S3" s="119"/>
      <c r="T3" s="119"/>
      <c r="U3" s="123"/>
      <c r="V3" s="123"/>
      <c r="W3" s="123"/>
      <c r="X3" s="123"/>
      <c r="Y3" s="123"/>
      <c r="Z3" s="123"/>
      <c r="AA3" s="123"/>
    </row>
    <row r="4" spans="1:31" ht="15.75" customHeight="1">
      <c r="B4" t="s">
        <v>63</v>
      </c>
      <c r="D4" s="152"/>
      <c r="E4">
        <f>+E3-72</f>
        <v>648</v>
      </c>
      <c r="F4" t="s">
        <v>64</v>
      </c>
      <c r="G4" s="469" t="str">
        <f>F9</f>
        <v>PVC Gris</v>
      </c>
      <c r="H4" s="469"/>
      <c r="I4" s="122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21"/>
      <c r="P4" s="119"/>
      <c r="R4" s="119"/>
    </row>
    <row r="5" spans="1:31" ht="15.75" customHeight="1">
      <c r="B5" t="s">
        <v>62</v>
      </c>
      <c r="D5" s="154">
        <v>10320</v>
      </c>
      <c r="E5" t="s">
        <v>61</v>
      </c>
      <c r="G5" s="470" t="str">
        <f>G9</f>
        <v>PVC Gainage</v>
      </c>
      <c r="H5" s="470"/>
      <c r="I5" s="120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19"/>
      <c r="X5" s="230"/>
    </row>
    <row r="6" spans="1:31" ht="15.75" customHeight="1">
      <c r="D6">
        <f>D5/2</f>
        <v>5160</v>
      </c>
      <c r="E6" t="s">
        <v>79</v>
      </c>
      <c r="G6" s="471" t="str">
        <f>H9</f>
        <v>PVC Bourrage</v>
      </c>
      <c r="H6" s="471"/>
      <c r="I6" s="117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16"/>
      <c r="R6" s="3">
        <v>12</v>
      </c>
      <c r="T6" s="7"/>
      <c r="U6" s="116"/>
      <c r="V6" s="116"/>
      <c r="W6" s="116"/>
      <c r="X6" s="116"/>
      <c r="Y6" s="116"/>
      <c r="Z6" s="116"/>
      <c r="AA6" s="116"/>
    </row>
    <row r="7" spans="1:31" s="11" customFormat="1">
      <c r="H7" s="12"/>
      <c r="Q7" s="116"/>
      <c r="R7" s="115">
        <v>24</v>
      </c>
      <c r="T7" s="3"/>
      <c r="U7" s="13"/>
      <c r="V7" s="13"/>
      <c r="W7" s="13"/>
      <c r="X7" s="13"/>
      <c r="Y7" s="13"/>
      <c r="Z7" s="13"/>
      <c r="AA7" s="13"/>
      <c r="AB7" s="14"/>
    </row>
    <row r="8" spans="1:31" ht="18.75" customHeight="1">
      <c r="B8" s="502" t="s">
        <v>0</v>
      </c>
      <c r="C8" s="502" t="s">
        <v>1</v>
      </c>
      <c r="D8" s="502" t="s">
        <v>2</v>
      </c>
      <c r="E8" s="475" t="s">
        <v>3</v>
      </c>
      <c r="F8" s="475"/>
      <c r="G8" s="475"/>
      <c r="H8" s="476"/>
      <c r="I8" s="15"/>
      <c r="J8" s="505" t="s">
        <v>4</v>
      </c>
      <c r="K8" s="475"/>
      <c r="L8" s="475"/>
      <c r="M8" s="475"/>
      <c r="N8" s="475"/>
      <c r="O8" s="503"/>
      <c r="P8" s="114" t="s">
        <v>49</v>
      </c>
      <c r="Q8" s="113" t="s">
        <v>48</v>
      </c>
      <c r="R8" s="472" t="s">
        <v>47</v>
      </c>
      <c r="S8" s="609" t="s">
        <v>46</v>
      </c>
      <c r="T8" s="609"/>
      <c r="V8" s="535" t="s">
        <v>33</v>
      </c>
      <c r="W8" s="536"/>
      <c r="X8" s="536"/>
      <c r="Y8" s="536"/>
      <c r="Z8" s="536"/>
      <c r="AA8" s="536"/>
      <c r="AB8" s="536"/>
      <c r="AC8" s="536"/>
      <c r="AD8" s="112"/>
    </row>
    <row r="9" spans="1:31" ht="35.25" customHeight="1" thickBot="1">
      <c r="B9" s="502"/>
      <c r="C9" s="502"/>
      <c r="D9" s="502"/>
      <c r="E9" s="111" t="s">
        <v>6</v>
      </c>
      <c r="F9" s="110" t="s">
        <v>7</v>
      </c>
      <c r="G9" s="109" t="s">
        <v>8</v>
      </c>
      <c r="H9" s="108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4"/>
      <c r="P9" s="107" t="s">
        <v>45</v>
      </c>
      <c r="Q9" s="107" t="s">
        <v>44</v>
      </c>
      <c r="R9" s="473"/>
      <c r="S9" s="106" t="s">
        <v>43</v>
      </c>
      <c r="T9" s="105" t="s">
        <v>42</v>
      </c>
      <c r="U9" s="56"/>
      <c r="V9" s="178" t="s">
        <v>41</v>
      </c>
      <c r="W9" s="179" t="s">
        <v>40</v>
      </c>
      <c r="X9" s="180" t="s">
        <v>39</v>
      </c>
      <c r="Y9" s="181" t="s">
        <v>73</v>
      </c>
      <c r="Z9" s="182" t="s">
        <v>74</v>
      </c>
      <c r="AA9" s="350" t="s">
        <v>75</v>
      </c>
      <c r="AB9" s="183" t="s">
        <v>80</v>
      </c>
      <c r="AC9" s="351" t="s">
        <v>90</v>
      </c>
      <c r="AD9" s="127" t="s">
        <v>5</v>
      </c>
    </row>
    <row r="10" spans="1:31" ht="21" customHeight="1" thickTop="1" thickBot="1">
      <c r="A10" s="399" t="s">
        <v>24</v>
      </c>
      <c r="B10" s="423">
        <v>42887</v>
      </c>
      <c r="C10" s="405" t="s">
        <v>16</v>
      </c>
      <c r="D10" s="435" t="s">
        <v>22</v>
      </c>
      <c r="E10" s="19"/>
      <c r="F10" s="19"/>
      <c r="G10" s="588">
        <v>4920</v>
      </c>
      <c r="H10" s="19"/>
      <c r="I10" s="402"/>
      <c r="J10" s="552">
        <f t="shared" ref="J10:M14" si="0">$G10*J$5</f>
        <v>2214</v>
      </c>
      <c r="K10" s="552">
        <f t="shared" si="0"/>
        <v>1320.0359999999998</v>
      </c>
      <c r="L10" s="552">
        <f t="shared" si="0"/>
        <v>1318.0680000000002</v>
      </c>
      <c r="M10" s="552">
        <f t="shared" si="0"/>
        <v>67.896000000000001</v>
      </c>
      <c r="N10" s="400"/>
      <c r="O10" s="402"/>
      <c r="P10" s="405">
        <f>SUM(E10:H13)</f>
        <v>9480</v>
      </c>
      <c r="Q10" s="460">
        <f>P10*R7/D5</f>
        <v>22.046511627906977</v>
      </c>
      <c r="R10" s="590">
        <f>Q10/R7</f>
        <v>0.91860465116279066</v>
      </c>
      <c r="S10" s="405">
        <f>+D5-P10</f>
        <v>840</v>
      </c>
      <c r="T10" s="517">
        <f>S10/D5</f>
        <v>8.1395348837209308E-2</v>
      </c>
      <c r="U10" s="96"/>
      <c r="V10" s="199"/>
      <c r="W10" s="184"/>
      <c r="X10" s="184"/>
      <c r="Y10" s="184"/>
      <c r="Z10" s="184"/>
      <c r="AA10" s="184"/>
      <c r="AB10" s="352"/>
      <c r="AC10" s="333"/>
      <c r="AD10" s="95"/>
      <c r="AE10" s="177"/>
    </row>
    <row r="11" spans="1:31" ht="21" customHeight="1" thickTop="1">
      <c r="A11" s="399"/>
      <c r="B11" s="506"/>
      <c r="C11" s="426"/>
      <c r="D11" s="436"/>
      <c r="E11" s="19"/>
      <c r="F11" s="19"/>
      <c r="G11" s="589"/>
      <c r="H11" s="19"/>
      <c r="I11" s="403"/>
      <c r="J11" s="553"/>
      <c r="K11" s="553"/>
      <c r="L11" s="553"/>
      <c r="M11" s="553"/>
      <c r="N11" s="446"/>
      <c r="O11" s="403"/>
      <c r="P11" s="406"/>
      <c r="Q11" s="461"/>
      <c r="R11" s="591"/>
      <c r="S11" s="406"/>
      <c r="T11" s="518"/>
      <c r="U11" s="460">
        <f>Q10+Y11+Y13</f>
        <v>22.046511627906977</v>
      </c>
      <c r="V11" s="199"/>
      <c r="W11" s="184"/>
      <c r="X11" s="353">
        <v>1</v>
      </c>
      <c r="Y11" s="353"/>
      <c r="Z11" s="353"/>
      <c r="AA11" s="353"/>
      <c r="AB11" s="353"/>
      <c r="AC11" s="353"/>
      <c r="AD11" s="222" t="s">
        <v>78</v>
      </c>
      <c r="AE11" s="177"/>
    </row>
    <row r="12" spans="1:31" ht="21" customHeight="1" thickBot="1">
      <c r="A12" s="399"/>
      <c r="B12" s="506"/>
      <c r="C12" s="420" t="s">
        <v>19</v>
      </c>
      <c r="D12" s="421" t="s">
        <v>17</v>
      </c>
      <c r="E12" s="19"/>
      <c r="F12" s="19"/>
      <c r="G12" s="531">
        <v>4560</v>
      </c>
      <c r="H12" s="19"/>
      <c r="I12" s="21"/>
      <c r="J12" s="533">
        <f t="shared" si="0"/>
        <v>2052</v>
      </c>
      <c r="K12" s="533">
        <f t="shared" si="0"/>
        <v>1223.4479999999999</v>
      </c>
      <c r="L12" s="533">
        <f t="shared" si="0"/>
        <v>1221.624</v>
      </c>
      <c r="M12" s="533">
        <f t="shared" si="0"/>
        <v>62.927999999999997</v>
      </c>
      <c r="N12" s="43"/>
      <c r="O12" s="403"/>
      <c r="P12" s="406"/>
      <c r="Q12" s="461"/>
      <c r="R12" s="591"/>
      <c r="S12" s="406"/>
      <c r="T12" s="518"/>
      <c r="U12" s="461"/>
      <c r="V12" s="199"/>
      <c r="W12" s="184"/>
      <c r="X12" s="354"/>
      <c r="Y12" s="354"/>
      <c r="Z12" s="354"/>
      <c r="AA12" s="200"/>
      <c r="AB12" s="352"/>
      <c r="AC12" s="333"/>
      <c r="AD12" s="82"/>
      <c r="AE12" s="177"/>
    </row>
    <row r="13" spans="1:31" ht="21" customHeight="1" thickTop="1" thickBot="1">
      <c r="A13" s="399"/>
      <c r="B13" s="506"/>
      <c r="C13" s="506"/>
      <c r="D13" s="422"/>
      <c r="E13" s="19"/>
      <c r="F13" s="19"/>
      <c r="G13" s="589"/>
      <c r="H13" s="19"/>
      <c r="I13" s="21"/>
      <c r="J13" s="553"/>
      <c r="K13" s="553"/>
      <c r="L13" s="553"/>
      <c r="M13" s="553"/>
      <c r="N13" s="136"/>
      <c r="O13" s="403"/>
      <c r="P13" s="406"/>
      <c r="Q13" s="461"/>
      <c r="R13" s="591"/>
      <c r="S13" s="406"/>
      <c r="T13" s="518"/>
      <c r="U13" s="461"/>
      <c r="V13" s="201"/>
      <c r="W13" s="197"/>
      <c r="X13" s="197"/>
      <c r="Y13" s="197"/>
      <c r="Z13" s="186"/>
      <c r="AA13" s="371">
        <v>1</v>
      </c>
      <c r="AB13" s="371"/>
      <c r="AC13" s="371"/>
      <c r="AD13" s="137" t="s">
        <v>56</v>
      </c>
      <c r="AE13" s="177">
        <f>SUM(V10:AC13)+Q10</f>
        <v>24.046511627906977</v>
      </c>
    </row>
    <row r="14" spans="1:31" ht="23.25" customHeight="1" thickTop="1" thickBot="1">
      <c r="A14" s="399" t="s">
        <v>25</v>
      </c>
      <c r="B14" s="423">
        <v>42888</v>
      </c>
      <c r="C14" s="405" t="s">
        <v>16</v>
      </c>
      <c r="D14" s="435" t="s">
        <v>22</v>
      </c>
      <c r="E14" s="397"/>
      <c r="F14" s="397"/>
      <c r="G14" s="588">
        <f>41*120</f>
        <v>4920</v>
      </c>
      <c r="H14" s="397"/>
      <c r="I14" s="21"/>
      <c r="J14" s="606">
        <f t="shared" si="0"/>
        <v>2214</v>
      </c>
      <c r="K14" s="606">
        <f t="shared" si="0"/>
        <v>1320.0359999999998</v>
      </c>
      <c r="L14" s="606">
        <f t="shared" si="0"/>
        <v>1318.0680000000002</v>
      </c>
      <c r="M14" s="606">
        <f t="shared" si="0"/>
        <v>67.896000000000001</v>
      </c>
      <c r="N14" s="400"/>
      <c r="O14" s="91"/>
      <c r="P14" s="405">
        <f>SUM(E14:H17)</f>
        <v>10200</v>
      </c>
      <c r="Q14" s="442">
        <f>P14*R7/D5</f>
        <v>23.720930232558139</v>
      </c>
      <c r="R14" s="411">
        <f>Q14/R7</f>
        <v>0.98837209302325579</v>
      </c>
      <c r="S14" s="405">
        <f>+D5-P14</f>
        <v>120</v>
      </c>
      <c r="T14" s="510">
        <f>S14/D5</f>
        <v>1.1627906976744186E-2</v>
      </c>
      <c r="U14" s="90"/>
      <c r="V14" s="210">
        <v>0.25</v>
      </c>
      <c r="W14" s="204"/>
      <c r="X14" s="204"/>
      <c r="Y14" s="204"/>
      <c r="Z14" s="204"/>
      <c r="AA14" s="217"/>
      <c r="AB14" s="217"/>
      <c r="AC14" s="217"/>
      <c r="AD14" s="218" t="s">
        <v>57</v>
      </c>
      <c r="AE14" s="177"/>
    </row>
    <row r="15" spans="1:31" ht="23.25" customHeight="1" thickTop="1">
      <c r="A15" s="399"/>
      <c r="B15" s="424"/>
      <c r="C15" s="426"/>
      <c r="D15" s="436"/>
      <c r="E15" s="398"/>
      <c r="F15" s="398"/>
      <c r="G15" s="589"/>
      <c r="H15" s="398"/>
      <c r="I15" s="21"/>
      <c r="J15" s="607"/>
      <c r="K15" s="607"/>
      <c r="L15" s="607"/>
      <c r="M15" s="607"/>
      <c r="N15" s="446"/>
      <c r="O15" s="21"/>
      <c r="P15" s="406"/>
      <c r="Q15" s="431"/>
      <c r="R15" s="412"/>
      <c r="S15" s="406"/>
      <c r="T15" s="466"/>
      <c r="U15" s="442">
        <f>Y15+Y17+Q14</f>
        <v>23.720930232558139</v>
      </c>
      <c r="V15" s="199"/>
      <c r="W15" s="184"/>
      <c r="X15" s="184"/>
      <c r="Y15" s="184"/>
      <c r="Z15" s="184"/>
      <c r="AA15" s="184"/>
      <c r="AB15" s="352"/>
      <c r="AC15" s="333"/>
      <c r="AD15" s="166"/>
      <c r="AE15" s="177"/>
    </row>
    <row r="16" spans="1:31" ht="26.25" customHeight="1">
      <c r="A16" s="399"/>
      <c r="B16" s="424"/>
      <c r="C16" s="420" t="s">
        <v>19</v>
      </c>
      <c r="D16" s="421" t="s">
        <v>17</v>
      </c>
      <c r="E16" s="31"/>
      <c r="F16" s="31"/>
      <c r="G16" s="138">
        <f>33*120</f>
        <v>3960</v>
      </c>
      <c r="H16" s="31"/>
      <c r="I16" s="21"/>
      <c r="J16" s="139">
        <f>$G16*J$5</f>
        <v>1782</v>
      </c>
      <c r="K16" s="139">
        <f t="shared" ref="K16:M16" si="1">$G16*K$5</f>
        <v>1062.4679999999998</v>
      </c>
      <c r="L16" s="139">
        <f t="shared" si="1"/>
        <v>1060.884</v>
      </c>
      <c r="M16" s="139">
        <f t="shared" si="1"/>
        <v>54.647999999999996</v>
      </c>
      <c r="N16" s="140"/>
      <c r="O16" s="21"/>
      <c r="P16" s="406"/>
      <c r="Q16" s="431"/>
      <c r="R16" s="412"/>
      <c r="S16" s="406"/>
      <c r="T16" s="466"/>
      <c r="U16" s="406"/>
      <c r="V16" s="199"/>
      <c r="W16" s="184"/>
      <c r="X16" s="184"/>
      <c r="Y16" s="184"/>
      <c r="Z16" s="184"/>
      <c r="AA16" s="184"/>
      <c r="AB16" s="352"/>
      <c r="AC16" s="333"/>
      <c r="AD16" s="166"/>
      <c r="AE16" s="177"/>
    </row>
    <row r="17" spans="1:31" ht="26.25" customHeight="1" thickBot="1">
      <c r="A17" s="399"/>
      <c r="B17" s="425"/>
      <c r="C17" s="407"/>
      <c r="D17" s="422"/>
      <c r="E17" s="22"/>
      <c r="F17" s="20">
        <f>11*120</f>
        <v>1320</v>
      </c>
      <c r="G17" s="22"/>
      <c r="H17" s="22"/>
      <c r="I17" s="21"/>
      <c r="J17" s="24">
        <f>F17*J4</f>
        <v>594</v>
      </c>
      <c r="K17" s="24">
        <f>F17*K4</f>
        <v>354.15599999999995</v>
      </c>
      <c r="L17" s="24">
        <f>F17*L4</f>
        <v>353.62800000000004</v>
      </c>
      <c r="M17" s="24">
        <f>F17*M4</f>
        <v>18.216000000000001</v>
      </c>
      <c r="N17" s="141">
        <f>F17*N4</f>
        <v>9.7680000000000007</v>
      </c>
      <c r="O17" s="21"/>
      <c r="P17" s="407"/>
      <c r="Q17" s="432"/>
      <c r="R17" s="413"/>
      <c r="S17" s="407"/>
      <c r="T17" s="467"/>
      <c r="U17" s="407"/>
      <c r="V17" s="201"/>
      <c r="W17" s="197"/>
      <c r="X17" s="197"/>
      <c r="Y17" s="197"/>
      <c r="Z17" s="197"/>
      <c r="AA17" s="197"/>
      <c r="AB17" s="355"/>
      <c r="AC17" s="356"/>
      <c r="AD17" s="221"/>
      <c r="AE17" s="177">
        <f>SUM(V14:AC17)+Q14</f>
        <v>23.970930232558139</v>
      </c>
    </row>
    <row r="18" spans="1:31" ht="21" customHeight="1" thickTop="1" thickBot="1">
      <c r="A18" s="399" t="s">
        <v>26</v>
      </c>
      <c r="B18" s="423">
        <v>42889</v>
      </c>
      <c r="C18" s="405" t="s">
        <v>16</v>
      </c>
      <c r="D18" s="435" t="s">
        <v>22</v>
      </c>
      <c r="E18" s="496"/>
      <c r="F18" s="604">
        <v>5640</v>
      </c>
      <c r="G18" s="496"/>
      <c r="H18" s="498"/>
      <c r="I18" s="403"/>
      <c r="J18" s="428">
        <f>$F18*J$4</f>
        <v>2538</v>
      </c>
      <c r="K18" s="428">
        <f>$F18*K$4</f>
        <v>1513.212</v>
      </c>
      <c r="L18" s="428">
        <f>$F18*L$4</f>
        <v>1510.9560000000001</v>
      </c>
      <c r="M18" s="428">
        <f>$F18*M$4</f>
        <v>77.831999999999994</v>
      </c>
      <c r="N18" s="428">
        <f>$F18*N$4</f>
        <v>41.736000000000004</v>
      </c>
      <c r="O18" s="403"/>
      <c r="P18" s="405">
        <f>SUM(E18:H21)</f>
        <v>11040</v>
      </c>
      <c r="Q18" s="442">
        <f>P18*R7/D5</f>
        <v>25.674418604651162</v>
      </c>
      <c r="R18" s="411">
        <f>Q18/R7</f>
        <v>1.069767441860465</v>
      </c>
      <c r="S18" s="405">
        <f>+D5-P18</f>
        <v>-720</v>
      </c>
      <c r="T18" s="414">
        <f>S18/D5</f>
        <v>-6.9767441860465115E-2</v>
      </c>
      <c r="U18" s="85"/>
      <c r="V18" s="220"/>
      <c r="W18" s="185"/>
      <c r="X18" s="185"/>
      <c r="Y18" s="131"/>
      <c r="Z18" s="131"/>
      <c r="AA18" s="131"/>
      <c r="AB18" s="359"/>
      <c r="AC18" s="360"/>
      <c r="AD18" s="83"/>
      <c r="AE18" s="177"/>
    </row>
    <row r="19" spans="1:31" ht="21" customHeight="1" thickTop="1">
      <c r="A19" s="399"/>
      <c r="B19" s="424"/>
      <c r="C19" s="426"/>
      <c r="D19" s="436"/>
      <c r="E19" s="497"/>
      <c r="F19" s="605"/>
      <c r="G19" s="497"/>
      <c r="H19" s="499"/>
      <c r="I19" s="403"/>
      <c r="J19" s="429"/>
      <c r="K19" s="429"/>
      <c r="L19" s="429"/>
      <c r="M19" s="429"/>
      <c r="N19" s="429"/>
      <c r="O19" s="403"/>
      <c r="P19" s="406"/>
      <c r="Q19" s="431"/>
      <c r="R19" s="412"/>
      <c r="S19" s="406"/>
      <c r="T19" s="415"/>
      <c r="U19" s="442">
        <f>Q18+Y20</f>
        <v>25.674418604651162</v>
      </c>
      <c r="V19" s="199"/>
      <c r="W19" s="184"/>
      <c r="X19" s="216"/>
      <c r="Y19" s="129"/>
      <c r="Z19" s="129"/>
      <c r="AA19" s="129"/>
      <c r="AB19" s="352"/>
      <c r="AC19" s="333"/>
      <c r="AD19" s="82"/>
      <c r="AE19" s="177"/>
    </row>
    <row r="20" spans="1:31" ht="21" customHeight="1">
      <c r="A20" s="399"/>
      <c r="B20" s="424"/>
      <c r="C20" s="420" t="s">
        <v>19</v>
      </c>
      <c r="D20" s="421" t="s">
        <v>17</v>
      </c>
      <c r="E20" s="39"/>
      <c r="F20" s="440">
        <f>45*120</f>
        <v>5400</v>
      </c>
      <c r="G20" s="39"/>
      <c r="H20" s="40"/>
      <c r="I20" s="403"/>
      <c r="J20" s="433">
        <f>$F20*J$4</f>
        <v>2430</v>
      </c>
      <c r="K20" s="433">
        <f>$F20*K$4</f>
        <v>1448.82</v>
      </c>
      <c r="L20" s="433">
        <f>$F20*L$4</f>
        <v>1446.66</v>
      </c>
      <c r="M20" s="433">
        <f>$F20*M$4</f>
        <v>74.52</v>
      </c>
      <c r="N20" s="433">
        <f>$F20*N$4</f>
        <v>39.96</v>
      </c>
      <c r="O20" s="21"/>
      <c r="P20" s="406"/>
      <c r="Q20" s="431"/>
      <c r="R20" s="412"/>
      <c r="S20" s="406"/>
      <c r="T20" s="415"/>
      <c r="U20" s="431"/>
      <c r="V20" s="199"/>
      <c r="W20" s="184"/>
      <c r="X20" s="184"/>
      <c r="Y20" s="129"/>
      <c r="Z20" s="129"/>
      <c r="AA20" s="129"/>
      <c r="AB20" s="352"/>
      <c r="AC20" s="333"/>
      <c r="AD20" s="82"/>
      <c r="AE20" s="177"/>
    </row>
    <row r="21" spans="1:31" ht="21" customHeight="1" thickBot="1">
      <c r="A21" s="399"/>
      <c r="B21" s="425"/>
      <c r="C21" s="407"/>
      <c r="D21" s="422"/>
      <c r="E21" s="22"/>
      <c r="F21" s="441"/>
      <c r="G21" s="22"/>
      <c r="H21" s="22"/>
      <c r="I21" s="608"/>
      <c r="J21" s="434"/>
      <c r="K21" s="434"/>
      <c r="L21" s="434"/>
      <c r="M21" s="434"/>
      <c r="N21" s="434"/>
      <c r="O21" s="21"/>
      <c r="P21" s="407"/>
      <c r="Q21" s="432"/>
      <c r="R21" s="413"/>
      <c r="S21" s="407"/>
      <c r="T21" s="416"/>
      <c r="U21" s="432"/>
      <c r="V21" s="201"/>
      <c r="W21" s="197"/>
      <c r="X21" s="197"/>
      <c r="Y21" s="77"/>
      <c r="Z21" s="77"/>
      <c r="AA21" s="77"/>
      <c r="AB21" s="355"/>
      <c r="AC21" s="356"/>
      <c r="AD21" s="143"/>
      <c r="AE21" s="177">
        <f>SUM(V18:AC21)+Q18</f>
        <v>25.674418604651162</v>
      </c>
    </row>
    <row r="22" spans="1:31" ht="21" customHeight="1" thickTop="1" thickBot="1">
      <c r="A22" s="399" t="s">
        <v>28</v>
      </c>
      <c r="B22" s="487">
        <v>42890</v>
      </c>
      <c r="C22" s="452" t="s">
        <v>16</v>
      </c>
      <c r="D22" s="435" t="s">
        <v>22</v>
      </c>
      <c r="E22" s="92"/>
      <c r="F22" s="437">
        <f>40*120</f>
        <v>4800</v>
      </c>
      <c r="G22" s="92"/>
      <c r="H22" s="92"/>
      <c r="I22" s="603"/>
      <c r="J22" s="428">
        <f>$F22*J$4</f>
        <v>2160</v>
      </c>
      <c r="K22" s="428">
        <f>$F22*K$4</f>
        <v>1287.8399999999999</v>
      </c>
      <c r="L22" s="428">
        <f>$F22*L$4</f>
        <v>1285.92</v>
      </c>
      <c r="M22" s="428">
        <f>$F22*M$4</f>
        <v>66.239999999999995</v>
      </c>
      <c r="N22" s="428">
        <f>$F22*N$4</f>
        <v>35.520000000000003</v>
      </c>
      <c r="O22" s="21"/>
      <c r="P22" s="405">
        <f>SUM(E22:H25)</f>
        <v>8640</v>
      </c>
      <c r="Q22" s="579">
        <f>P22*$R$7/$D$5</f>
        <v>20.093023255813954</v>
      </c>
      <c r="R22" s="590">
        <f>Q22/$R$7</f>
        <v>0.83720930232558144</v>
      </c>
      <c r="S22" s="452">
        <f>+$D$5-P22</f>
        <v>1680</v>
      </c>
      <c r="T22" s="463">
        <f>+S22/$D$5</f>
        <v>0.16279069767441862</v>
      </c>
      <c r="U22" s="144"/>
      <c r="V22" s="266">
        <v>3</v>
      </c>
      <c r="W22" s="204"/>
      <c r="X22" s="204"/>
      <c r="Y22" s="204"/>
      <c r="Z22" s="204"/>
      <c r="AA22" s="217"/>
      <c r="AB22" s="217"/>
      <c r="AC22" s="217"/>
      <c r="AD22" s="102" t="s">
        <v>58</v>
      </c>
      <c r="AE22" s="177"/>
    </row>
    <row r="23" spans="1:31" ht="21" customHeight="1" thickTop="1">
      <c r="A23" s="399"/>
      <c r="B23" s="561"/>
      <c r="C23" s="562"/>
      <c r="D23" s="436"/>
      <c r="E23" s="31"/>
      <c r="F23" s="438"/>
      <c r="G23" s="31"/>
      <c r="H23" s="31"/>
      <c r="I23" s="403"/>
      <c r="J23" s="429"/>
      <c r="K23" s="429"/>
      <c r="L23" s="429"/>
      <c r="M23" s="429"/>
      <c r="N23" s="429"/>
      <c r="O23" s="25"/>
      <c r="P23" s="406"/>
      <c r="Q23" s="580"/>
      <c r="R23" s="591"/>
      <c r="S23" s="554"/>
      <c r="T23" s="555"/>
      <c r="U23" s="45"/>
      <c r="V23" s="81"/>
      <c r="W23" s="184"/>
      <c r="X23" s="216"/>
      <c r="Y23" s="129"/>
      <c r="Z23" s="129"/>
      <c r="AA23" s="129"/>
      <c r="AB23" s="352"/>
      <c r="AC23" s="333"/>
      <c r="AD23" s="82"/>
      <c r="AE23" s="177"/>
    </row>
    <row r="24" spans="1:31" ht="21" customHeight="1">
      <c r="A24" s="399"/>
      <c r="B24" s="561"/>
      <c r="C24" s="563" t="s">
        <v>19</v>
      </c>
      <c r="D24" s="421" t="s">
        <v>17</v>
      </c>
      <c r="E24" s="92"/>
      <c r="F24" s="440">
        <f>32*120</f>
        <v>3840</v>
      </c>
      <c r="G24" s="92"/>
      <c r="H24" s="92"/>
      <c r="I24" s="403"/>
      <c r="J24" s="433">
        <f>$F24*J$4</f>
        <v>1728</v>
      </c>
      <c r="K24" s="433">
        <f>$F24*K$4</f>
        <v>1030.2719999999999</v>
      </c>
      <c r="L24" s="433">
        <f>$F24*L$4</f>
        <v>1028.7360000000001</v>
      </c>
      <c r="M24" s="433">
        <f>$F24*M$4</f>
        <v>52.991999999999997</v>
      </c>
      <c r="N24" s="433">
        <f>$F24*N$4</f>
        <v>28.416</v>
      </c>
      <c r="O24" s="21"/>
      <c r="P24" s="406"/>
      <c r="Q24" s="580"/>
      <c r="R24" s="591"/>
      <c r="S24" s="554"/>
      <c r="T24" s="555"/>
      <c r="U24" s="145"/>
      <c r="V24" s="81"/>
      <c r="W24" s="184"/>
      <c r="X24" s="353">
        <v>1</v>
      </c>
      <c r="Y24" s="353"/>
      <c r="Z24" s="353"/>
      <c r="AA24" s="353"/>
      <c r="AB24" s="353"/>
      <c r="AC24" s="353"/>
      <c r="AD24" s="222" t="s">
        <v>78</v>
      </c>
      <c r="AE24" s="177"/>
    </row>
    <row r="25" spans="1:31" ht="21" customHeight="1" thickBot="1">
      <c r="A25" s="399"/>
      <c r="B25" s="488"/>
      <c r="C25" s="453"/>
      <c r="D25" s="422"/>
      <c r="E25" s="46"/>
      <c r="F25" s="438"/>
      <c r="G25" s="46"/>
      <c r="H25" s="46"/>
      <c r="I25" s="404"/>
      <c r="J25" s="434"/>
      <c r="K25" s="434"/>
      <c r="L25" s="434"/>
      <c r="M25" s="434"/>
      <c r="N25" s="434"/>
      <c r="O25" s="23"/>
      <c r="P25" s="407"/>
      <c r="Q25" s="581"/>
      <c r="R25" s="451"/>
      <c r="S25" s="453"/>
      <c r="T25" s="464"/>
      <c r="U25" s="47"/>
      <c r="V25" s="78"/>
      <c r="W25" s="197"/>
      <c r="X25" s="77"/>
      <c r="Y25" s="77"/>
      <c r="Z25" s="77"/>
      <c r="AA25" s="77"/>
      <c r="AB25" s="355"/>
      <c r="AC25" s="356"/>
      <c r="AD25" s="143"/>
      <c r="AE25" s="177">
        <f>SUM(V22:AC25)+Q22</f>
        <v>24.093023255813954</v>
      </c>
    </row>
    <row r="26" spans="1:31" ht="17.25" customHeight="1" thickTop="1">
      <c r="A26" s="399" t="s">
        <v>15</v>
      </c>
      <c r="B26" s="445">
        <v>42891</v>
      </c>
      <c r="C26" s="420" t="s">
        <v>16</v>
      </c>
      <c r="D26" s="540" t="s">
        <v>101</v>
      </c>
      <c r="E26" s="541"/>
      <c r="F26" s="541"/>
      <c r="G26" s="541"/>
      <c r="H26" s="541"/>
      <c r="I26" s="541"/>
      <c r="J26" s="541"/>
      <c r="K26" s="541"/>
      <c r="L26" s="541"/>
      <c r="M26" s="541"/>
      <c r="N26" s="542"/>
      <c r="O26" s="21"/>
      <c r="P26" s="420">
        <f>G28</f>
        <v>0</v>
      </c>
      <c r="Q26" s="452">
        <f>P26*$R$7/$D$5</f>
        <v>0</v>
      </c>
      <c r="R26" s="590">
        <f>Q26/$R$7</f>
        <v>0</v>
      </c>
      <c r="S26" s="452">
        <f>+$D$5-P26</f>
        <v>10320</v>
      </c>
      <c r="T26" s="463">
        <f>+S26/$D$5</f>
        <v>1</v>
      </c>
      <c r="U26" s="104"/>
      <c r="V26" s="266">
        <v>2</v>
      </c>
      <c r="W26" s="204"/>
      <c r="X26" s="204"/>
      <c r="Y26" s="204"/>
      <c r="Z26" s="204"/>
      <c r="AA26" s="204"/>
      <c r="AB26" s="204"/>
      <c r="AC26" s="204"/>
      <c r="AD26" s="236" t="s">
        <v>71</v>
      </c>
      <c r="AE26" s="177"/>
    </row>
    <row r="27" spans="1:31" ht="17.25" customHeight="1">
      <c r="A27" s="399"/>
      <c r="B27" s="424"/>
      <c r="C27" s="426"/>
      <c r="D27" s="540"/>
      <c r="E27" s="541"/>
      <c r="F27" s="541"/>
      <c r="G27" s="541"/>
      <c r="H27" s="541"/>
      <c r="I27" s="541"/>
      <c r="J27" s="541"/>
      <c r="K27" s="541"/>
      <c r="L27" s="541"/>
      <c r="M27" s="541"/>
      <c r="N27" s="542"/>
      <c r="O27" s="21"/>
      <c r="P27" s="406"/>
      <c r="Q27" s="554"/>
      <c r="R27" s="591"/>
      <c r="S27" s="554"/>
      <c r="T27" s="555"/>
      <c r="U27" s="430">
        <f>Q26+Y29</f>
        <v>0</v>
      </c>
      <c r="V27" s="81"/>
      <c r="W27" s="184"/>
      <c r="X27" s="184"/>
      <c r="Y27" s="184"/>
      <c r="Z27" s="184"/>
      <c r="AA27" s="184"/>
      <c r="AB27" s="352"/>
      <c r="AC27" s="333"/>
      <c r="AD27" s="237"/>
      <c r="AE27" s="177"/>
    </row>
    <row r="28" spans="1:31" ht="17.25" customHeight="1" thickBot="1">
      <c r="A28" s="399"/>
      <c r="B28" s="424"/>
      <c r="C28" s="420" t="s">
        <v>19</v>
      </c>
      <c r="D28" s="421" t="s">
        <v>22</v>
      </c>
      <c r="E28" s="329"/>
      <c r="F28" s="329"/>
      <c r="G28" s="531">
        <v>0</v>
      </c>
      <c r="H28" s="329"/>
      <c r="I28" s="21"/>
      <c r="J28" s="533">
        <f t="shared" ref="J28:M28" si="2">$G28*J$5</f>
        <v>0</v>
      </c>
      <c r="K28" s="533">
        <f t="shared" si="2"/>
        <v>0</v>
      </c>
      <c r="L28" s="533">
        <f t="shared" si="2"/>
        <v>0</v>
      </c>
      <c r="M28" s="533">
        <f t="shared" si="2"/>
        <v>0</v>
      </c>
      <c r="N28" s="43"/>
      <c r="O28" s="21"/>
      <c r="P28" s="406"/>
      <c r="Q28" s="554"/>
      <c r="R28" s="591"/>
      <c r="S28" s="554"/>
      <c r="T28" s="555"/>
      <c r="U28" s="431"/>
      <c r="V28" s="81"/>
      <c r="W28" s="129"/>
      <c r="X28" s="129"/>
      <c r="Y28" s="94">
        <v>10</v>
      </c>
      <c r="Z28" s="94"/>
      <c r="AA28" s="94"/>
      <c r="AB28" s="363"/>
      <c r="AC28" s="364"/>
      <c r="AD28" s="175" t="s">
        <v>51</v>
      </c>
      <c r="AE28" s="177"/>
    </row>
    <row r="29" spans="1:31" ht="17.25" customHeight="1" thickTop="1" thickBot="1">
      <c r="A29" s="399"/>
      <c r="B29" s="425"/>
      <c r="C29" s="407"/>
      <c r="D29" s="422"/>
      <c r="E29" s="22"/>
      <c r="F29" s="22"/>
      <c r="G29" s="532"/>
      <c r="H29" s="22"/>
      <c r="I29" s="23"/>
      <c r="J29" s="553"/>
      <c r="K29" s="553"/>
      <c r="L29" s="553"/>
      <c r="M29" s="553"/>
      <c r="N29" s="136"/>
      <c r="O29" s="23"/>
      <c r="P29" s="407"/>
      <c r="Q29" s="453"/>
      <c r="R29" s="451"/>
      <c r="S29" s="453"/>
      <c r="T29" s="464"/>
      <c r="U29" s="432"/>
      <c r="V29" s="78"/>
      <c r="W29" s="77"/>
      <c r="X29" s="77"/>
      <c r="Y29" s="197"/>
      <c r="Z29" s="197"/>
      <c r="AA29" s="197"/>
      <c r="AB29" s="355"/>
      <c r="AC29" s="356"/>
      <c r="AD29" s="238"/>
      <c r="AE29" s="177">
        <f>SUM(V26:AC29)+Q26</f>
        <v>12</v>
      </c>
    </row>
    <row r="30" spans="1:31" ht="18.75" customHeight="1" thickTop="1">
      <c r="A30" s="399" t="s">
        <v>21</v>
      </c>
      <c r="B30" s="423">
        <v>42892</v>
      </c>
      <c r="C30" s="405" t="s">
        <v>16</v>
      </c>
      <c r="D30" s="508" t="s">
        <v>17</v>
      </c>
      <c r="E30" s="329"/>
      <c r="F30" s="329"/>
      <c r="G30" s="588">
        <f>47*120</f>
        <v>5640</v>
      </c>
      <c r="H30" s="329"/>
      <c r="I30" s="402"/>
      <c r="J30" s="552">
        <f t="shared" ref="J30:M34" si="3">$G30*J$5</f>
        <v>2538</v>
      </c>
      <c r="K30" s="552">
        <f t="shared" si="3"/>
        <v>1513.212</v>
      </c>
      <c r="L30" s="552">
        <f t="shared" si="3"/>
        <v>1510.9560000000001</v>
      </c>
      <c r="M30" s="552">
        <f t="shared" si="3"/>
        <v>77.831999999999994</v>
      </c>
      <c r="N30" s="400"/>
      <c r="O30" s="402"/>
      <c r="P30" s="405">
        <f>G30+G32</f>
        <v>10200</v>
      </c>
      <c r="Q30" s="579">
        <f>P30*$R$7/$D$5</f>
        <v>23.720930232558139</v>
      </c>
      <c r="R30" s="590">
        <f>Q30/$R$7</f>
        <v>0.98837209302325579</v>
      </c>
      <c r="S30" s="452">
        <f>+$D$5-P30</f>
        <v>120</v>
      </c>
      <c r="T30" s="463">
        <f>+S30/$D$5</f>
        <v>1.1627906976744186E-2</v>
      </c>
      <c r="U30" s="320"/>
      <c r="V30" s="84"/>
      <c r="W30" s="131"/>
      <c r="X30" s="131"/>
      <c r="Y30" s="185"/>
      <c r="Z30" s="185"/>
      <c r="AA30" s="185"/>
      <c r="AB30" s="359"/>
      <c r="AC30" s="360"/>
      <c r="AD30" s="89"/>
      <c r="AE30" s="177"/>
    </row>
    <row r="31" spans="1:31" ht="18.75" customHeight="1">
      <c r="A31" s="399"/>
      <c r="B31" s="424"/>
      <c r="C31" s="426"/>
      <c r="D31" s="509"/>
      <c r="E31" s="329"/>
      <c r="F31" s="329"/>
      <c r="G31" s="589"/>
      <c r="H31" s="329"/>
      <c r="I31" s="403"/>
      <c r="J31" s="553"/>
      <c r="K31" s="553"/>
      <c r="L31" s="553"/>
      <c r="M31" s="553"/>
      <c r="N31" s="446"/>
      <c r="O31" s="403"/>
      <c r="P31" s="406"/>
      <c r="Q31" s="580"/>
      <c r="R31" s="591"/>
      <c r="S31" s="554"/>
      <c r="T31" s="555"/>
      <c r="U31" s="430">
        <f>Q30+Y31+Y33</f>
        <v>23.720930232558139</v>
      </c>
      <c r="V31" s="81"/>
      <c r="W31" s="129"/>
      <c r="X31" s="129"/>
      <c r="Y31" s="184"/>
      <c r="Z31" s="184"/>
      <c r="AA31" s="184"/>
      <c r="AB31" s="352"/>
      <c r="AC31" s="333"/>
      <c r="AD31" s="82"/>
      <c r="AE31" s="177"/>
    </row>
    <row r="32" spans="1:31" ht="18.75" customHeight="1" thickBot="1">
      <c r="A32" s="399"/>
      <c r="B32" s="424"/>
      <c r="C32" s="420" t="s">
        <v>19</v>
      </c>
      <c r="D32" s="421" t="s">
        <v>22</v>
      </c>
      <c r="E32" s="329"/>
      <c r="F32" s="329"/>
      <c r="G32" s="531">
        <f>38*120</f>
        <v>4560</v>
      </c>
      <c r="H32" s="329"/>
      <c r="I32" s="403"/>
      <c r="J32" s="533">
        <f t="shared" si="3"/>
        <v>2052</v>
      </c>
      <c r="K32" s="533">
        <f t="shared" si="3"/>
        <v>1223.4479999999999</v>
      </c>
      <c r="L32" s="533">
        <f t="shared" si="3"/>
        <v>1221.624</v>
      </c>
      <c r="M32" s="533">
        <f t="shared" si="3"/>
        <v>62.927999999999997</v>
      </c>
      <c r="N32" s="43"/>
      <c r="O32" s="403"/>
      <c r="P32" s="406"/>
      <c r="Q32" s="580"/>
      <c r="R32" s="591"/>
      <c r="S32" s="554"/>
      <c r="T32" s="555"/>
      <c r="U32" s="431"/>
      <c r="V32" s="81"/>
      <c r="W32" s="129"/>
      <c r="X32" s="129"/>
      <c r="Y32" s="184"/>
      <c r="Z32" s="184"/>
      <c r="AA32" s="184"/>
      <c r="AB32" s="352"/>
      <c r="AC32" s="333"/>
      <c r="AD32" s="82"/>
      <c r="AE32" s="177"/>
    </row>
    <row r="33" spans="1:31" ht="18.75" customHeight="1" thickTop="1" thickBot="1">
      <c r="A33" s="399"/>
      <c r="B33" s="425"/>
      <c r="C33" s="407"/>
      <c r="D33" s="422"/>
      <c r="E33" s="22"/>
      <c r="F33" s="22"/>
      <c r="G33" s="589"/>
      <c r="H33" s="22"/>
      <c r="I33" s="404"/>
      <c r="J33" s="553"/>
      <c r="K33" s="553"/>
      <c r="L33" s="553"/>
      <c r="M33" s="553"/>
      <c r="N33" s="136"/>
      <c r="O33" s="404"/>
      <c r="P33" s="407"/>
      <c r="Q33" s="581"/>
      <c r="R33" s="451"/>
      <c r="S33" s="453"/>
      <c r="T33" s="464"/>
      <c r="U33" s="432"/>
      <c r="V33" s="78"/>
      <c r="W33" s="77"/>
      <c r="X33" s="77"/>
      <c r="Y33" s="186"/>
      <c r="Z33" s="186"/>
      <c r="AA33" s="372">
        <v>0.25</v>
      </c>
      <c r="AB33" s="372"/>
      <c r="AC33" s="372"/>
      <c r="AD33" s="172" t="s">
        <v>72</v>
      </c>
      <c r="AE33" s="177">
        <f>SUM(V30:AC33)+Q30</f>
        <v>23.970930232558139</v>
      </c>
    </row>
    <row r="34" spans="1:31" ht="16.5" customHeight="1" thickTop="1" thickBot="1">
      <c r="A34" s="399" t="s">
        <v>23</v>
      </c>
      <c r="B34" s="423">
        <v>42893</v>
      </c>
      <c r="C34" s="405" t="s">
        <v>16</v>
      </c>
      <c r="D34" s="508" t="s">
        <v>17</v>
      </c>
      <c r="E34" s="329"/>
      <c r="F34" s="329"/>
      <c r="G34" s="588">
        <f>19*120</f>
        <v>2280</v>
      </c>
      <c r="H34" s="329"/>
      <c r="I34" s="402"/>
      <c r="J34" s="552">
        <f t="shared" si="3"/>
        <v>1026</v>
      </c>
      <c r="K34" s="552">
        <f t="shared" si="3"/>
        <v>611.72399999999993</v>
      </c>
      <c r="L34" s="552">
        <f t="shared" si="3"/>
        <v>610.81200000000001</v>
      </c>
      <c r="M34" s="552">
        <f t="shared" si="3"/>
        <v>31.463999999999999</v>
      </c>
      <c r="N34" s="400"/>
      <c r="O34" s="402"/>
      <c r="P34" s="405">
        <f>G34+G36</f>
        <v>3000</v>
      </c>
      <c r="Q34" s="579">
        <f>P34*$R$7/$D$5</f>
        <v>6.9767441860465116</v>
      </c>
      <c r="R34" s="590">
        <f>Q34/$R$7</f>
        <v>0.29069767441860467</v>
      </c>
      <c r="S34" s="452">
        <f>+$D$5-P34</f>
        <v>7320</v>
      </c>
      <c r="T34" s="463">
        <f>+S34/$D$5</f>
        <v>0.70930232558139539</v>
      </c>
      <c r="U34" s="320"/>
      <c r="V34" s="84"/>
      <c r="W34" s="131"/>
      <c r="X34" s="131"/>
      <c r="Y34" s="185"/>
      <c r="Z34" s="131"/>
      <c r="AA34" s="131"/>
      <c r="AB34" s="359"/>
      <c r="AC34" s="360"/>
      <c r="AD34" s="362"/>
      <c r="AE34" s="177"/>
    </row>
    <row r="35" spans="1:31" ht="16.5" customHeight="1" thickTop="1">
      <c r="A35" s="399"/>
      <c r="B35" s="424"/>
      <c r="C35" s="426"/>
      <c r="D35" s="509"/>
      <c r="E35" s="329"/>
      <c r="F35" s="329"/>
      <c r="G35" s="589"/>
      <c r="H35" s="329"/>
      <c r="I35" s="403"/>
      <c r="J35" s="553"/>
      <c r="K35" s="553"/>
      <c r="L35" s="553"/>
      <c r="M35" s="553"/>
      <c r="N35" s="446"/>
      <c r="O35" s="403"/>
      <c r="P35" s="406"/>
      <c r="Q35" s="580"/>
      <c r="R35" s="591"/>
      <c r="S35" s="554"/>
      <c r="T35" s="555"/>
      <c r="U35" s="417"/>
      <c r="V35" s="81"/>
      <c r="W35" s="129"/>
      <c r="X35" s="129"/>
      <c r="Y35" s="184"/>
      <c r="Z35" s="129"/>
      <c r="AA35" s="129"/>
      <c r="AB35" s="352"/>
      <c r="AC35" s="333"/>
      <c r="AD35" s="305"/>
      <c r="AE35" s="177"/>
    </row>
    <row r="36" spans="1:31" ht="16.5" customHeight="1" thickBot="1">
      <c r="A36" s="399"/>
      <c r="B36" s="424"/>
      <c r="C36" s="420" t="s">
        <v>19</v>
      </c>
      <c r="D36" s="421" t="s">
        <v>22</v>
      </c>
      <c r="E36" s="329"/>
      <c r="F36" s="329"/>
      <c r="G36" s="531">
        <f>6*120</f>
        <v>720</v>
      </c>
      <c r="H36" s="329"/>
      <c r="I36" s="403"/>
      <c r="J36" s="533">
        <f t="shared" ref="J36:M44" si="4">$G36*J$5</f>
        <v>324</v>
      </c>
      <c r="K36" s="533">
        <f t="shared" si="4"/>
        <v>193.17599999999999</v>
      </c>
      <c r="L36" s="533">
        <f t="shared" si="4"/>
        <v>192.88800000000003</v>
      </c>
      <c r="M36" s="533">
        <f t="shared" si="4"/>
        <v>9.9359999999999999</v>
      </c>
      <c r="N36" s="43"/>
      <c r="O36" s="403"/>
      <c r="P36" s="406"/>
      <c r="Q36" s="580"/>
      <c r="R36" s="591"/>
      <c r="S36" s="554"/>
      <c r="T36" s="555"/>
      <c r="U36" s="418"/>
      <c r="V36" s="81"/>
      <c r="W36" s="129"/>
      <c r="X36" s="129"/>
      <c r="Y36" s="94">
        <v>17</v>
      </c>
      <c r="Z36" s="94"/>
      <c r="AA36" s="94"/>
      <c r="AB36" s="363"/>
      <c r="AC36" s="364"/>
      <c r="AD36" s="175" t="s">
        <v>51</v>
      </c>
      <c r="AE36" s="177"/>
    </row>
    <row r="37" spans="1:31" ht="16.5" customHeight="1" thickTop="1" thickBot="1">
      <c r="A37" s="399"/>
      <c r="B37" s="425"/>
      <c r="C37" s="407"/>
      <c r="D37" s="422"/>
      <c r="E37" s="22"/>
      <c r="F37" s="22"/>
      <c r="G37" s="589"/>
      <c r="H37" s="22"/>
      <c r="I37" s="404"/>
      <c r="J37" s="553"/>
      <c r="K37" s="553"/>
      <c r="L37" s="553"/>
      <c r="M37" s="553"/>
      <c r="N37" s="136"/>
      <c r="O37" s="404"/>
      <c r="P37" s="407"/>
      <c r="Q37" s="581"/>
      <c r="R37" s="451"/>
      <c r="S37" s="453"/>
      <c r="T37" s="464"/>
      <c r="U37" s="419"/>
      <c r="V37" s="78"/>
      <c r="W37" s="77"/>
      <c r="X37" s="77"/>
      <c r="Y37" s="77"/>
      <c r="Z37" s="77"/>
      <c r="AA37" s="77"/>
      <c r="AB37" s="355"/>
      <c r="AC37" s="356"/>
      <c r="AD37" s="238"/>
      <c r="AE37" s="177">
        <f>SUM(V34:AC37)+Q34</f>
        <v>23.97674418604651</v>
      </c>
    </row>
    <row r="38" spans="1:31" ht="18" customHeight="1" thickTop="1" thickBot="1">
      <c r="A38" s="399" t="s">
        <v>24</v>
      </c>
      <c r="B38" s="423">
        <v>42894</v>
      </c>
      <c r="C38" s="405" t="s">
        <v>16</v>
      </c>
      <c r="D38" s="508" t="s">
        <v>17</v>
      </c>
      <c r="E38" s="496"/>
      <c r="F38" s="496"/>
      <c r="G38" s="588">
        <f>32*120</f>
        <v>3840</v>
      </c>
      <c r="H38" s="496"/>
      <c r="I38" s="402"/>
      <c r="J38" s="552">
        <f t="shared" si="4"/>
        <v>1728</v>
      </c>
      <c r="K38" s="552">
        <f t="shared" si="4"/>
        <v>1030.2719999999999</v>
      </c>
      <c r="L38" s="552">
        <f t="shared" si="4"/>
        <v>1028.7360000000001</v>
      </c>
      <c r="M38" s="552">
        <f t="shared" si="4"/>
        <v>52.991999999999997</v>
      </c>
      <c r="N38" s="400"/>
      <c r="O38" s="402"/>
      <c r="P38" s="405">
        <f>SUM(E38:H41)</f>
        <v>7920</v>
      </c>
      <c r="Q38" s="579">
        <f>P38*$R$7/$D$5</f>
        <v>18.418604651162791</v>
      </c>
      <c r="R38" s="590">
        <f>Q38/$R$7</f>
        <v>0.76744186046511631</v>
      </c>
      <c r="S38" s="452">
        <f>+$D$5-P38</f>
        <v>2400</v>
      </c>
      <c r="T38" s="463">
        <f>+S38/$D$5</f>
        <v>0.23255813953488372</v>
      </c>
      <c r="U38" s="324"/>
      <c r="V38" s="84"/>
      <c r="W38" s="131"/>
      <c r="X38" s="131"/>
      <c r="Y38" s="185"/>
      <c r="Z38" s="131"/>
      <c r="AA38" s="131"/>
      <c r="AB38" s="359"/>
      <c r="AC38" s="360"/>
      <c r="AD38" s="165"/>
      <c r="AE38" s="177"/>
    </row>
    <row r="39" spans="1:31" ht="18" customHeight="1" thickTop="1">
      <c r="A39" s="399"/>
      <c r="B39" s="506"/>
      <c r="C39" s="426"/>
      <c r="D39" s="509"/>
      <c r="E39" s="497"/>
      <c r="F39" s="497"/>
      <c r="G39" s="589"/>
      <c r="H39" s="497"/>
      <c r="I39" s="403"/>
      <c r="J39" s="553"/>
      <c r="K39" s="553"/>
      <c r="L39" s="553"/>
      <c r="M39" s="553"/>
      <c r="N39" s="446"/>
      <c r="O39" s="403"/>
      <c r="P39" s="406"/>
      <c r="Q39" s="580"/>
      <c r="R39" s="591"/>
      <c r="S39" s="554"/>
      <c r="T39" s="555"/>
      <c r="U39" s="460">
        <f>Q38+Y39+Y41</f>
        <v>18.418604651162791</v>
      </c>
      <c r="V39" s="81"/>
      <c r="W39" s="129"/>
      <c r="X39" s="129"/>
      <c r="Y39" s="184"/>
      <c r="Z39" s="129"/>
      <c r="AA39" s="129"/>
      <c r="AB39" s="352"/>
      <c r="AC39" s="333"/>
      <c r="AD39" s="166"/>
      <c r="AE39" s="177"/>
    </row>
    <row r="40" spans="1:31" ht="18" customHeight="1" thickBot="1">
      <c r="A40" s="399"/>
      <c r="B40" s="506"/>
      <c r="C40" s="420" t="s">
        <v>19</v>
      </c>
      <c r="D40" s="421" t="s">
        <v>22</v>
      </c>
      <c r="E40" s="39"/>
      <c r="F40" s="39"/>
      <c r="G40" s="531">
        <f>34*120</f>
        <v>4080</v>
      </c>
      <c r="H40" s="39"/>
      <c r="I40" s="21"/>
      <c r="J40" s="533">
        <f t="shared" si="4"/>
        <v>1836</v>
      </c>
      <c r="K40" s="533">
        <f t="shared" si="4"/>
        <v>1094.664</v>
      </c>
      <c r="L40" s="533">
        <f t="shared" si="4"/>
        <v>1093.0320000000002</v>
      </c>
      <c r="M40" s="533">
        <f t="shared" si="4"/>
        <v>56.304000000000002</v>
      </c>
      <c r="N40" s="43"/>
      <c r="O40" s="403"/>
      <c r="P40" s="406"/>
      <c r="Q40" s="580"/>
      <c r="R40" s="591"/>
      <c r="S40" s="554"/>
      <c r="T40" s="555"/>
      <c r="U40" s="461"/>
      <c r="V40" s="81"/>
      <c r="W40" s="129"/>
      <c r="X40" s="129"/>
      <c r="Y40" s="94">
        <v>5.5</v>
      </c>
      <c r="Z40" s="94"/>
      <c r="AA40" s="94"/>
      <c r="AB40" s="363"/>
      <c r="AC40" s="364"/>
      <c r="AD40" s="175" t="s">
        <v>51</v>
      </c>
      <c r="AE40" s="177"/>
    </row>
    <row r="41" spans="1:31" ht="18" customHeight="1" thickTop="1" thickBot="1">
      <c r="A41" s="399"/>
      <c r="B41" s="506"/>
      <c r="C41" s="506"/>
      <c r="D41" s="422"/>
      <c r="E41" s="22"/>
      <c r="F41" s="22"/>
      <c r="G41" s="589"/>
      <c r="H41" s="22"/>
      <c r="I41" s="21"/>
      <c r="J41" s="553"/>
      <c r="K41" s="553"/>
      <c r="L41" s="553"/>
      <c r="M41" s="553"/>
      <c r="N41" s="136"/>
      <c r="O41" s="404"/>
      <c r="P41" s="406"/>
      <c r="Q41" s="581"/>
      <c r="R41" s="451"/>
      <c r="S41" s="453"/>
      <c r="T41" s="464"/>
      <c r="U41" s="461"/>
      <c r="V41" s="78"/>
      <c r="W41" s="77"/>
      <c r="X41" s="77"/>
      <c r="Y41" s="77"/>
      <c r="Z41" s="77"/>
      <c r="AA41" s="77"/>
      <c r="AB41" s="355"/>
      <c r="AC41" s="356"/>
      <c r="AD41" s="167"/>
      <c r="AE41" s="177">
        <f>SUM(V38:AC41)+Q38</f>
        <v>23.918604651162791</v>
      </c>
    </row>
    <row r="42" spans="1:31" ht="19.5" customHeight="1" thickTop="1" thickBot="1">
      <c r="A42" s="399" t="s">
        <v>25</v>
      </c>
      <c r="B42" s="423">
        <v>42895</v>
      </c>
      <c r="C42" s="405" t="s">
        <v>16</v>
      </c>
      <c r="D42" s="508" t="s">
        <v>17</v>
      </c>
      <c r="E42" s="496"/>
      <c r="F42" s="496"/>
      <c r="G42" s="588">
        <f>13*120</f>
        <v>1560</v>
      </c>
      <c r="H42" s="496"/>
      <c r="I42" s="21"/>
      <c r="J42" s="552">
        <f t="shared" si="4"/>
        <v>702</v>
      </c>
      <c r="K42" s="552">
        <f t="shared" si="4"/>
        <v>418.548</v>
      </c>
      <c r="L42" s="552">
        <f t="shared" si="4"/>
        <v>417.92400000000004</v>
      </c>
      <c r="M42" s="552">
        <f t="shared" si="4"/>
        <v>21.527999999999999</v>
      </c>
      <c r="N42" s="400"/>
      <c r="O42" s="21"/>
      <c r="P42" s="405">
        <f>SUM(E42:H45)</f>
        <v>1560</v>
      </c>
      <c r="Q42" s="579">
        <f>P42*$R$7/$D$5</f>
        <v>3.6279069767441858</v>
      </c>
      <c r="R42" s="590">
        <f>Q42/$R$7</f>
        <v>0.15116279069767441</v>
      </c>
      <c r="S42" s="452">
        <f>+$D$5-P42</f>
        <v>8760</v>
      </c>
      <c r="T42" s="463">
        <f>+S42/$D$5</f>
        <v>0.84883720930232553</v>
      </c>
      <c r="U42" s="321"/>
      <c r="V42" s="84"/>
      <c r="W42" s="131"/>
      <c r="X42" s="131"/>
      <c r="Y42" s="185"/>
      <c r="Z42" s="131"/>
      <c r="AA42" s="131"/>
      <c r="AB42" s="359"/>
      <c r="AC42" s="360"/>
      <c r="AD42" s="165"/>
      <c r="AE42" s="177"/>
    </row>
    <row r="43" spans="1:31" ht="19.5" customHeight="1" thickTop="1">
      <c r="A43" s="399"/>
      <c r="B43" s="424"/>
      <c r="C43" s="426"/>
      <c r="D43" s="509"/>
      <c r="E43" s="497"/>
      <c r="F43" s="497"/>
      <c r="G43" s="589"/>
      <c r="H43" s="497"/>
      <c r="I43" s="21"/>
      <c r="J43" s="553"/>
      <c r="K43" s="553"/>
      <c r="L43" s="553"/>
      <c r="M43" s="553"/>
      <c r="N43" s="446"/>
      <c r="O43" s="21"/>
      <c r="P43" s="406"/>
      <c r="Q43" s="580"/>
      <c r="R43" s="591"/>
      <c r="S43" s="554"/>
      <c r="T43" s="555"/>
      <c r="U43" s="442">
        <f>Y43+Y45+Q42</f>
        <v>3.6279069767441858</v>
      </c>
      <c r="V43" s="81"/>
      <c r="W43" s="129"/>
      <c r="X43" s="129"/>
      <c r="Y43" s="184"/>
      <c r="Z43" s="129"/>
      <c r="AA43" s="129"/>
      <c r="AB43" s="352"/>
      <c r="AC43" s="333"/>
      <c r="AD43" s="166"/>
      <c r="AE43" s="177"/>
    </row>
    <row r="44" spans="1:31" ht="19.5" customHeight="1" thickBot="1">
      <c r="A44" s="399"/>
      <c r="B44" s="424"/>
      <c r="C44" s="420" t="s">
        <v>19</v>
      </c>
      <c r="D44" s="421" t="s">
        <v>22</v>
      </c>
      <c r="E44" s="39"/>
      <c r="F44" s="39"/>
      <c r="G44" s="531">
        <v>0</v>
      </c>
      <c r="H44" s="39"/>
      <c r="I44" s="21"/>
      <c r="J44" s="533">
        <f t="shared" si="4"/>
        <v>0</v>
      </c>
      <c r="K44" s="533">
        <f t="shared" si="4"/>
        <v>0</v>
      </c>
      <c r="L44" s="533">
        <f t="shared" si="4"/>
        <v>0</v>
      </c>
      <c r="M44" s="533">
        <f t="shared" si="4"/>
        <v>0</v>
      </c>
      <c r="N44" s="43"/>
      <c r="O44" s="21"/>
      <c r="P44" s="406"/>
      <c r="Q44" s="580"/>
      <c r="R44" s="591"/>
      <c r="S44" s="554"/>
      <c r="T44" s="555"/>
      <c r="U44" s="406"/>
      <c r="V44" s="81"/>
      <c r="W44" s="129"/>
      <c r="X44" s="129"/>
      <c r="Y44" s="94">
        <v>20.5</v>
      </c>
      <c r="Z44" s="94"/>
      <c r="AA44" s="94"/>
      <c r="AB44" s="363"/>
      <c r="AC44" s="364"/>
      <c r="AD44" s="175" t="s">
        <v>51</v>
      </c>
      <c r="AE44" s="177"/>
    </row>
    <row r="45" spans="1:31" ht="19.5" customHeight="1" thickTop="1" thickBot="1">
      <c r="A45" s="399"/>
      <c r="B45" s="425"/>
      <c r="C45" s="407"/>
      <c r="D45" s="422"/>
      <c r="E45" s="22"/>
      <c r="F45" s="22"/>
      <c r="G45" s="589"/>
      <c r="H45" s="22"/>
      <c r="I45" s="21"/>
      <c r="J45" s="553"/>
      <c r="K45" s="553"/>
      <c r="L45" s="553"/>
      <c r="M45" s="553"/>
      <c r="N45" s="136"/>
      <c r="O45" s="23"/>
      <c r="P45" s="407"/>
      <c r="Q45" s="581"/>
      <c r="R45" s="451"/>
      <c r="S45" s="453"/>
      <c r="T45" s="464"/>
      <c r="U45" s="407"/>
      <c r="V45" s="78"/>
      <c r="W45" s="77"/>
      <c r="X45" s="77"/>
      <c r="Y45" s="77"/>
      <c r="Z45" s="77"/>
      <c r="AA45" s="77"/>
      <c r="AB45" s="355"/>
      <c r="AC45" s="356"/>
      <c r="AD45" s="167"/>
      <c r="AE45" s="177">
        <f>SUM(V42:AC45)+Q42</f>
        <v>24.127906976744185</v>
      </c>
    </row>
    <row r="46" spans="1:31" ht="15.75" customHeight="1" thickTop="1" thickBot="1">
      <c r="A46" s="399" t="s">
        <v>26</v>
      </c>
      <c r="B46" s="423">
        <v>42896</v>
      </c>
      <c r="C46" s="405" t="s">
        <v>16</v>
      </c>
      <c r="D46" s="508" t="s">
        <v>17</v>
      </c>
      <c r="E46" s="496"/>
      <c r="F46" s="496"/>
      <c r="G46" s="588">
        <v>0</v>
      </c>
      <c r="H46" s="496"/>
      <c r="I46" s="403"/>
      <c r="J46" s="595">
        <f>$F46*J$4</f>
        <v>0</v>
      </c>
      <c r="K46" s="595">
        <f>$F46*K$4</f>
        <v>0</v>
      </c>
      <c r="L46" s="595">
        <f>$F46*L$4</f>
        <v>0</v>
      </c>
      <c r="M46" s="595">
        <f>$F46*M$4</f>
        <v>0</v>
      </c>
      <c r="N46" s="564">
        <f>$F46*N$4</f>
        <v>0</v>
      </c>
      <c r="O46" s="403"/>
      <c r="P46" s="405">
        <f>SUM(E46:H49)</f>
        <v>1080</v>
      </c>
      <c r="Q46" s="579">
        <f>P46*$R$7/$D$5</f>
        <v>2.5116279069767442</v>
      </c>
      <c r="R46" s="590">
        <f>Q46/$R$7</f>
        <v>0.10465116279069768</v>
      </c>
      <c r="S46" s="452">
        <f>+$D$5-P46</f>
        <v>9240</v>
      </c>
      <c r="T46" s="463">
        <f>+S46/$D$5</f>
        <v>0.89534883720930236</v>
      </c>
      <c r="U46" s="322"/>
      <c r="V46" s="84"/>
      <c r="W46" s="131"/>
      <c r="X46" s="131"/>
      <c r="Y46" s="185"/>
      <c r="Z46" s="131"/>
      <c r="AA46" s="131"/>
      <c r="AB46" s="359"/>
      <c r="AC46" s="360"/>
      <c r="AD46" s="165"/>
      <c r="AE46" s="177"/>
    </row>
    <row r="47" spans="1:31" ht="15.75" customHeight="1" thickTop="1">
      <c r="A47" s="399"/>
      <c r="B47" s="424"/>
      <c r="C47" s="426"/>
      <c r="D47" s="509"/>
      <c r="E47" s="497"/>
      <c r="F47" s="497"/>
      <c r="G47" s="589"/>
      <c r="H47" s="497"/>
      <c r="I47" s="403"/>
      <c r="J47" s="596"/>
      <c r="K47" s="596"/>
      <c r="L47" s="596"/>
      <c r="M47" s="596"/>
      <c r="N47" s="501"/>
      <c r="O47" s="403"/>
      <c r="P47" s="406"/>
      <c r="Q47" s="580"/>
      <c r="R47" s="591"/>
      <c r="S47" s="554"/>
      <c r="T47" s="555"/>
      <c r="U47" s="442">
        <f>Q46+Y48</f>
        <v>24.011627906976745</v>
      </c>
      <c r="V47" s="81"/>
      <c r="W47" s="129"/>
      <c r="X47" s="129"/>
      <c r="Y47" s="184"/>
      <c r="Z47" s="129"/>
      <c r="AA47" s="129"/>
      <c r="AB47" s="352"/>
      <c r="AC47" s="333"/>
      <c r="AD47" s="166"/>
      <c r="AE47" s="177"/>
    </row>
    <row r="48" spans="1:31" ht="15.75" customHeight="1">
      <c r="A48" s="399"/>
      <c r="B48" s="424"/>
      <c r="C48" s="420" t="s">
        <v>19</v>
      </c>
      <c r="D48" s="421" t="s">
        <v>22</v>
      </c>
      <c r="E48" s="39"/>
      <c r="F48" s="39"/>
      <c r="G48" s="531">
        <f>9*120</f>
        <v>1080</v>
      </c>
      <c r="H48" s="39"/>
      <c r="I48" s="41"/>
      <c r="J48" s="533">
        <f t="shared" ref="J48:M48" si="5">$G48*J$5</f>
        <v>486</v>
      </c>
      <c r="K48" s="533">
        <f t="shared" si="5"/>
        <v>289.76400000000001</v>
      </c>
      <c r="L48" s="533">
        <f t="shared" si="5"/>
        <v>289.33200000000005</v>
      </c>
      <c r="M48" s="533">
        <f t="shared" si="5"/>
        <v>14.904</v>
      </c>
      <c r="N48" s="559">
        <f>$F48*N$4</f>
        <v>0</v>
      </c>
      <c r="O48" s="21"/>
      <c r="P48" s="406"/>
      <c r="Q48" s="580"/>
      <c r="R48" s="591"/>
      <c r="S48" s="554"/>
      <c r="T48" s="555"/>
      <c r="U48" s="431"/>
      <c r="V48" s="81"/>
      <c r="W48" s="129"/>
      <c r="X48" s="129"/>
      <c r="Y48" s="94">
        <v>21.5</v>
      </c>
      <c r="Z48" s="94"/>
      <c r="AA48" s="94"/>
      <c r="AB48" s="363"/>
      <c r="AC48" s="364"/>
      <c r="AD48" s="175" t="s">
        <v>51</v>
      </c>
      <c r="AE48" s="177"/>
    </row>
    <row r="49" spans="1:31" ht="15.75" customHeight="1" thickBot="1">
      <c r="A49" s="399"/>
      <c r="B49" s="425"/>
      <c r="C49" s="407"/>
      <c r="D49" s="422"/>
      <c r="E49" s="22"/>
      <c r="F49" s="22"/>
      <c r="G49" s="589"/>
      <c r="H49" s="22"/>
      <c r="I49" s="142"/>
      <c r="J49" s="553"/>
      <c r="K49" s="553"/>
      <c r="L49" s="553"/>
      <c r="M49" s="553"/>
      <c r="N49" s="500"/>
      <c r="O49" s="21"/>
      <c r="P49" s="407"/>
      <c r="Q49" s="581"/>
      <c r="R49" s="451"/>
      <c r="S49" s="453"/>
      <c r="T49" s="464"/>
      <c r="U49" s="432"/>
      <c r="V49" s="78"/>
      <c r="W49" s="77"/>
      <c r="X49" s="77"/>
      <c r="Y49" s="77"/>
      <c r="Z49" s="77"/>
      <c r="AA49" s="77"/>
      <c r="AB49" s="355"/>
      <c r="AC49" s="356"/>
      <c r="AD49" s="167"/>
      <c r="AE49" s="177">
        <f>SUM(V46:AC49)+Q46</f>
        <v>24.011627906976745</v>
      </c>
    </row>
    <row r="50" spans="1:31" ht="17.25" customHeight="1" thickTop="1" thickBot="1">
      <c r="A50" s="399" t="s">
        <v>28</v>
      </c>
      <c r="B50" s="487">
        <v>42897</v>
      </c>
      <c r="C50" s="452" t="s">
        <v>16</v>
      </c>
      <c r="D50" s="508" t="s">
        <v>17</v>
      </c>
      <c r="E50" s="496"/>
      <c r="F50" s="496"/>
      <c r="G50" s="588">
        <f>35*120</f>
        <v>4200</v>
      </c>
      <c r="H50" s="496"/>
      <c r="I50" s="21"/>
      <c r="J50" s="552">
        <f t="shared" ref="J50:M50" si="6">$G50*J$5</f>
        <v>1890</v>
      </c>
      <c r="K50" s="552">
        <f t="shared" si="6"/>
        <v>1126.8599999999999</v>
      </c>
      <c r="L50" s="552">
        <f t="shared" si="6"/>
        <v>1125.18</v>
      </c>
      <c r="M50" s="552">
        <f t="shared" si="6"/>
        <v>57.96</v>
      </c>
      <c r="N50" s="564">
        <f>$F50*N$4</f>
        <v>0</v>
      </c>
      <c r="O50" s="21"/>
      <c r="P50" s="405">
        <f>G50</f>
        <v>4200</v>
      </c>
      <c r="Q50" s="579">
        <f>P50*$R$7/$D$5</f>
        <v>9.7674418604651159</v>
      </c>
      <c r="R50" s="590">
        <f>Q50/$R$7</f>
        <v>0.40697674418604651</v>
      </c>
      <c r="S50" s="452">
        <f>+$D$5-P50</f>
        <v>6120</v>
      </c>
      <c r="T50" s="463">
        <f>+S50/$D$5</f>
        <v>0.59302325581395354</v>
      </c>
      <c r="U50" s="144"/>
      <c r="V50" s="84"/>
      <c r="W50" s="131"/>
      <c r="X50" s="131"/>
      <c r="Y50" s="185"/>
      <c r="Z50" s="131"/>
      <c r="AA50" s="131"/>
      <c r="AB50" s="359"/>
      <c r="AC50" s="360"/>
      <c r="AD50" s="165"/>
      <c r="AE50" s="177"/>
    </row>
    <row r="51" spans="1:31" ht="17.25" customHeight="1" thickTop="1">
      <c r="A51" s="399"/>
      <c r="B51" s="561"/>
      <c r="C51" s="562"/>
      <c r="D51" s="509"/>
      <c r="E51" s="497"/>
      <c r="F51" s="497"/>
      <c r="G51" s="589"/>
      <c r="H51" s="497"/>
      <c r="I51" s="21"/>
      <c r="J51" s="553"/>
      <c r="K51" s="553"/>
      <c r="L51" s="553"/>
      <c r="M51" s="553"/>
      <c r="N51" s="501"/>
      <c r="O51" s="25"/>
      <c r="P51" s="406"/>
      <c r="Q51" s="580"/>
      <c r="R51" s="591"/>
      <c r="S51" s="554"/>
      <c r="T51" s="555"/>
      <c r="U51" s="45"/>
      <c r="V51" s="81"/>
      <c r="W51" s="129"/>
      <c r="X51" s="129"/>
      <c r="Y51" s="184"/>
      <c r="Z51" s="129"/>
      <c r="AA51" s="129"/>
      <c r="AB51" s="352"/>
      <c r="AC51" s="333"/>
      <c r="AD51" s="166"/>
      <c r="AE51" s="177"/>
    </row>
    <row r="52" spans="1:31" ht="17.25" customHeight="1">
      <c r="A52" s="399"/>
      <c r="B52" s="561"/>
      <c r="C52" s="563" t="s">
        <v>19</v>
      </c>
      <c r="D52" s="537" t="s">
        <v>101</v>
      </c>
      <c r="E52" s="538"/>
      <c r="F52" s="538"/>
      <c r="G52" s="538"/>
      <c r="H52" s="538"/>
      <c r="I52" s="538"/>
      <c r="J52" s="538"/>
      <c r="K52" s="538"/>
      <c r="L52" s="538"/>
      <c r="M52" s="538"/>
      <c r="N52" s="539"/>
      <c r="O52" s="21"/>
      <c r="P52" s="406"/>
      <c r="Q52" s="580"/>
      <c r="R52" s="591"/>
      <c r="S52" s="554"/>
      <c r="T52" s="555"/>
      <c r="U52" s="145"/>
      <c r="V52" s="81"/>
      <c r="W52" s="129"/>
      <c r="X52" s="129"/>
      <c r="Y52" s="94">
        <v>2.25</v>
      </c>
      <c r="Z52" s="94"/>
      <c r="AA52" s="94"/>
      <c r="AB52" s="363"/>
      <c r="AC52" s="364"/>
      <c r="AD52" s="175" t="s">
        <v>51</v>
      </c>
      <c r="AE52" s="177"/>
    </row>
    <row r="53" spans="1:31" ht="17.25" customHeight="1" thickBot="1">
      <c r="A53" s="399"/>
      <c r="B53" s="488"/>
      <c r="C53" s="453"/>
      <c r="D53" s="537"/>
      <c r="E53" s="538"/>
      <c r="F53" s="538"/>
      <c r="G53" s="538"/>
      <c r="H53" s="538"/>
      <c r="I53" s="538"/>
      <c r="J53" s="538"/>
      <c r="K53" s="538"/>
      <c r="L53" s="538"/>
      <c r="M53" s="538"/>
      <c r="N53" s="539"/>
      <c r="O53" s="23"/>
      <c r="P53" s="407"/>
      <c r="Q53" s="581"/>
      <c r="R53" s="451"/>
      <c r="S53" s="453"/>
      <c r="T53" s="464"/>
      <c r="U53" s="47"/>
      <c r="V53" s="78"/>
      <c r="W53" s="77"/>
      <c r="X53" s="77"/>
      <c r="Y53" s="77"/>
      <c r="Z53" s="77"/>
      <c r="AA53" s="77"/>
      <c r="AB53" s="355"/>
      <c r="AC53" s="356"/>
      <c r="AD53" s="167"/>
      <c r="AE53" s="177">
        <f>SUM(V50:AC53)+Q50</f>
        <v>12.017441860465116</v>
      </c>
    </row>
    <row r="54" spans="1:31" ht="17.25" customHeight="1" thickTop="1">
      <c r="A54" s="399" t="s">
        <v>15</v>
      </c>
      <c r="B54" s="445">
        <v>42898</v>
      </c>
      <c r="C54" s="420" t="s">
        <v>16</v>
      </c>
      <c r="D54" s="537"/>
      <c r="E54" s="538"/>
      <c r="F54" s="538"/>
      <c r="G54" s="538"/>
      <c r="H54" s="538"/>
      <c r="I54" s="538"/>
      <c r="J54" s="538"/>
      <c r="K54" s="538"/>
      <c r="L54" s="538"/>
      <c r="M54" s="538"/>
      <c r="N54" s="539"/>
      <c r="O54" s="21"/>
      <c r="P54" s="420">
        <f>G56</f>
        <v>3240</v>
      </c>
      <c r="Q54" s="575">
        <f>P54*$R$6/$D$6</f>
        <v>7.5348837209302326</v>
      </c>
      <c r="R54" s="590">
        <f>Q54/$R$6</f>
        <v>0.62790697674418605</v>
      </c>
      <c r="S54" s="452">
        <f>+$D$6-P54</f>
        <v>1920</v>
      </c>
      <c r="T54" s="592">
        <f>+S54/$D$6</f>
        <v>0.37209302325581395</v>
      </c>
      <c r="U54" s="104"/>
      <c r="V54" s="266">
        <v>2</v>
      </c>
      <c r="W54" s="204"/>
      <c r="X54" s="204"/>
      <c r="Y54" s="204"/>
      <c r="Z54" s="204"/>
      <c r="AA54" s="204"/>
      <c r="AB54" s="204"/>
      <c r="AC54" s="365"/>
      <c r="AD54" s="366" t="s">
        <v>71</v>
      </c>
      <c r="AE54" s="177"/>
    </row>
    <row r="55" spans="1:31" ht="17.25" customHeight="1">
      <c r="A55" s="399"/>
      <c r="B55" s="424"/>
      <c r="C55" s="426"/>
      <c r="D55" s="537"/>
      <c r="E55" s="538"/>
      <c r="F55" s="538"/>
      <c r="G55" s="538"/>
      <c r="H55" s="538"/>
      <c r="I55" s="538"/>
      <c r="J55" s="538"/>
      <c r="K55" s="538"/>
      <c r="L55" s="538"/>
      <c r="M55" s="538"/>
      <c r="N55" s="539"/>
      <c r="O55" s="21"/>
      <c r="P55" s="406"/>
      <c r="Q55" s="576"/>
      <c r="R55" s="591"/>
      <c r="S55" s="554"/>
      <c r="T55" s="593"/>
      <c r="U55" s="430">
        <f>Q54+Y57</f>
        <v>7.5348837209302326</v>
      </c>
      <c r="V55" s="81"/>
      <c r="W55" s="184"/>
      <c r="X55" s="184"/>
      <c r="Y55" s="184"/>
      <c r="Z55" s="184"/>
      <c r="AA55" s="184"/>
      <c r="AB55" s="184"/>
      <c r="AC55" s="333"/>
      <c r="AD55" s="237"/>
      <c r="AE55" s="177"/>
    </row>
    <row r="56" spans="1:31" ht="17.25" customHeight="1" thickBot="1">
      <c r="A56" s="399"/>
      <c r="B56" s="424"/>
      <c r="C56" s="420" t="s">
        <v>19</v>
      </c>
      <c r="D56" s="421" t="s">
        <v>17</v>
      </c>
      <c r="E56" s="329"/>
      <c r="F56" s="329"/>
      <c r="G56" s="531">
        <f>27*120</f>
        <v>3240</v>
      </c>
      <c r="H56" s="329"/>
      <c r="I56" s="21"/>
      <c r="J56" s="533">
        <f>$G56*J$5</f>
        <v>1458</v>
      </c>
      <c r="K56" s="533">
        <f>$G56*K$5</f>
        <v>869.29199999999992</v>
      </c>
      <c r="L56" s="533">
        <f>$G56*L$5</f>
        <v>867.99600000000009</v>
      </c>
      <c r="M56" s="533">
        <f>$G56*M$5</f>
        <v>44.711999999999996</v>
      </c>
      <c r="N56" s="43"/>
      <c r="O56" s="21"/>
      <c r="P56" s="406"/>
      <c r="Q56" s="576"/>
      <c r="R56" s="591"/>
      <c r="S56" s="554"/>
      <c r="T56" s="593"/>
      <c r="U56" s="431"/>
      <c r="V56" s="81"/>
      <c r="W56" s="129"/>
      <c r="X56" s="129"/>
      <c r="Y56" s="88">
        <v>2.5</v>
      </c>
      <c r="Z56" s="94"/>
      <c r="AA56" s="94"/>
      <c r="AB56" s="363"/>
      <c r="AC56" s="364"/>
      <c r="AD56" s="175" t="s">
        <v>51</v>
      </c>
      <c r="AE56" s="177"/>
    </row>
    <row r="57" spans="1:31" ht="17.25" customHeight="1" thickTop="1" thickBot="1">
      <c r="A57" s="399"/>
      <c r="B57" s="425"/>
      <c r="C57" s="407"/>
      <c r="D57" s="422"/>
      <c r="E57" s="22"/>
      <c r="F57" s="22"/>
      <c r="G57" s="532"/>
      <c r="H57" s="22"/>
      <c r="I57" s="142"/>
      <c r="J57" s="553"/>
      <c r="K57" s="553"/>
      <c r="L57" s="553"/>
      <c r="M57" s="553"/>
      <c r="N57" s="136"/>
      <c r="O57" s="23"/>
      <c r="P57" s="407"/>
      <c r="Q57" s="577"/>
      <c r="R57" s="451"/>
      <c r="S57" s="453"/>
      <c r="T57" s="594"/>
      <c r="U57" s="432"/>
      <c r="V57" s="78"/>
      <c r="W57" s="77"/>
      <c r="X57" s="77"/>
      <c r="Y57" s="197"/>
      <c r="Z57" s="197"/>
      <c r="AA57" s="197"/>
      <c r="AB57" s="197"/>
      <c r="AC57" s="356"/>
      <c r="AD57" s="238"/>
      <c r="AE57" s="177">
        <f>SUM(V54:AC57)+Q54</f>
        <v>12.034883720930232</v>
      </c>
    </row>
    <row r="58" spans="1:31" ht="18.75" customHeight="1" thickTop="1">
      <c r="A58" s="399" t="s">
        <v>21</v>
      </c>
      <c r="B58" s="423">
        <v>42899</v>
      </c>
      <c r="C58" s="405" t="s">
        <v>16</v>
      </c>
      <c r="D58" s="435" t="s">
        <v>22</v>
      </c>
      <c r="E58" s="329"/>
      <c r="F58" s="329"/>
      <c r="G58" s="588">
        <f>46*120</f>
        <v>5520</v>
      </c>
      <c r="H58" s="329"/>
      <c r="I58" s="402"/>
      <c r="J58" s="552">
        <f>$G58*J$5</f>
        <v>2484</v>
      </c>
      <c r="K58" s="552">
        <f>$G58*K$5</f>
        <v>1481.0159999999998</v>
      </c>
      <c r="L58" s="552">
        <f>$G58*L$5</f>
        <v>1478.8080000000002</v>
      </c>
      <c r="M58" s="552">
        <f>$G58*M$5</f>
        <v>76.176000000000002</v>
      </c>
      <c r="N58" s="400"/>
      <c r="O58" s="402"/>
      <c r="P58" s="405">
        <f>G58+G60</f>
        <v>11040</v>
      </c>
      <c r="Q58" s="579">
        <f>P58*$R$7/$D$5</f>
        <v>25.674418604651162</v>
      </c>
      <c r="R58" s="411">
        <f>Q58/$R$7</f>
        <v>1.069767441860465</v>
      </c>
      <c r="S58" s="452">
        <f>+$D$5-P58</f>
        <v>-720</v>
      </c>
      <c r="T58" s="463">
        <f>+S58/$D$5</f>
        <v>-6.9767441860465115E-2</v>
      </c>
      <c r="U58" s="320"/>
      <c r="V58" s="220"/>
      <c r="W58" s="185"/>
      <c r="X58" s="185"/>
      <c r="Y58" s="185"/>
      <c r="Z58" s="185"/>
      <c r="AA58" s="185"/>
      <c r="AB58" s="185"/>
      <c r="AC58" s="360"/>
      <c r="AD58" s="165"/>
      <c r="AE58" s="177"/>
    </row>
    <row r="59" spans="1:31" ht="18.75" customHeight="1">
      <c r="A59" s="399"/>
      <c r="B59" s="424"/>
      <c r="C59" s="426"/>
      <c r="D59" s="436"/>
      <c r="E59" s="329"/>
      <c r="F59" s="329"/>
      <c r="G59" s="589"/>
      <c r="H59" s="27"/>
      <c r="I59" s="403"/>
      <c r="J59" s="553"/>
      <c r="K59" s="553"/>
      <c r="L59" s="553"/>
      <c r="M59" s="553"/>
      <c r="N59" s="446"/>
      <c r="O59" s="403"/>
      <c r="P59" s="406"/>
      <c r="Q59" s="580"/>
      <c r="R59" s="412"/>
      <c r="S59" s="554"/>
      <c r="T59" s="555"/>
      <c r="U59" s="430">
        <f>Q58+Y59+Y61</f>
        <v>25.674418604651162</v>
      </c>
      <c r="V59" s="199"/>
      <c r="W59" s="184"/>
      <c r="X59" s="184"/>
      <c r="Y59" s="184"/>
      <c r="Z59" s="184"/>
      <c r="AA59" s="184"/>
      <c r="AB59" s="184"/>
      <c r="AC59" s="333"/>
      <c r="AD59" s="166"/>
      <c r="AE59" s="177"/>
    </row>
    <row r="60" spans="1:31" ht="18.75" customHeight="1" thickBot="1">
      <c r="A60" s="399"/>
      <c r="B60" s="424"/>
      <c r="C60" s="420" t="s">
        <v>19</v>
      </c>
      <c r="D60" s="421" t="s">
        <v>17</v>
      </c>
      <c r="E60" s="329"/>
      <c r="F60" s="329"/>
      <c r="G60" s="531">
        <v>5520</v>
      </c>
      <c r="H60" s="329"/>
      <c r="I60" s="403"/>
      <c r="J60" s="533">
        <f>$G60*J$5</f>
        <v>2484</v>
      </c>
      <c r="K60" s="533">
        <f>$G60*K$5</f>
        <v>1481.0159999999998</v>
      </c>
      <c r="L60" s="533">
        <f>$G60*L$5</f>
        <v>1478.8080000000002</v>
      </c>
      <c r="M60" s="533">
        <f>$G60*M$5</f>
        <v>76.176000000000002</v>
      </c>
      <c r="N60" s="43"/>
      <c r="O60" s="403"/>
      <c r="P60" s="406"/>
      <c r="Q60" s="580"/>
      <c r="R60" s="412"/>
      <c r="S60" s="554"/>
      <c r="T60" s="555"/>
      <c r="U60" s="431"/>
      <c r="V60" s="199"/>
      <c r="W60" s="184"/>
      <c r="X60" s="184"/>
      <c r="Y60" s="184"/>
      <c r="Z60" s="184"/>
      <c r="AA60" s="184"/>
      <c r="AB60" s="184"/>
      <c r="AC60" s="333"/>
      <c r="AD60" s="166"/>
      <c r="AE60" s="177"/>
    </row>
    <row r="61" spans="1:31" ht="18.75" customHeight="1" thickTop="1" thickBot="1">
      <c r="A61" s="399"/>
      <c r="B61" s="425"/>
      <c r="C61" s="407"/>
      <c r="D61" s="439"/>
      <c r="E61" s="22"/>
      <c r="F61" s="22"/>
      <c r="G61" s="532"/>
      <c r="H61" s="22"/>
      <c r="I61" s="404"/>
      <c r="J61" s="553"/>
      <c r="K61" s="553"/>
      <c r="L61" s="553"/>
      <c r="M61" s="553"/>
      <c r="N61" s="136"/>
      <c r="O61" s="404"/>
      <c r="P61" s="407"/>
      <c r="Q61" s="581"/>
      <c r="R61" s="413"/>
      <c r="S61" s="453"/>
      <c r="T61" s="464"/>
      <c r="U61" s="432"/>
      <c r="V61" s="201"/>
      <c r="W61" s="197"/>
      <c r="X61" s="197"/>
      <c r="Y61" s="186"/>
      <c r="Z61" s="186"/>
      <c r="AA61" s="186"/>
      <c r="AB61" s="186"/>
      <c r="AC61" s="356"/>
      <c r="AD61" s="233"/>
      <c r="AE61" s="177">
        <f>SUM(V58:AC61)+Q58</f>
        <v>25.674418604651162</v>
      </c>
    </row>
    <row r="62" spans="1:31" ht="16.5" customHeight="1" thickTop="1" thickBot="1">
      <c r="A62" s="399" t="s">
        <v>23</v>
      </c>
      <c r="B62" s="423">
        <v>42900</v>
      </c>
      <c r="C62" s="405" t="s">
        <v>16</v>
      </c>
      <c r="D62" s="435" t="s">
        <v>22</v>
      </c>
      <c r="E62" s="329"/>
      <c r="F62" s="329"/>
      <c r="G62" s="588">
        <f>42*120</f>
        <v>5040</v>
      </c>
      <c r="H62" s="329"/>
      <c r="I62" s="402"/>
      <c r="J62" s="552">
        <f>$G62*J$5</f>
        <v>2268</v>
      </c>
      <c r="K62" s="552">
        <f>$G62*K$5</f>
        <v>1352.232</v>
      </c>
      <c r="L62" s="552">
        <f>$G62*L$5</f>
        <v>1350.2160000000001</v>
      </c>
      <c r="M62" s="552">
        <f>$G62*M$5</f>
        <v>69.551999999999992</v>
      </c>
      <c r="N62" s="400"/>
      <c r="O62" s="402"/>
      <c r="P62" s="405">
        <f>G62+G64+H65</f>
        <v>10440</v>
      </c>
      <c r="Q62" s="579">
        <f>P62*$R$7/$D$5</f>
        <v>24.279069767441861</v>
      </c>
      <c r="R62" s="411">
        <f>Q62/$R$7</f>
        <v>1.0116279069767442</v>
      </c>
      <c r="S62" s="452">
        <f>+$D$5-P62</f>
        <v>-120</v>
      </c>
      <c r="T62" s="463">
        <f>+S62/$D$5</f>
        <v>-1.1627906976744186E-2</v>
      </c>
      <c r="U62" s="320"/>
      <c r="V62" s="220"/>
      <c r="W62" s="185"/>
      <c r="X62" s="185"/>
      <c r="Y62" s="185"/>
      <c r="Z62" s="185"/>
      <c r="AA62" s="185"/>
      <c r="AB62" s="185"/>
      <c r="AC62" s="360"/>
      <c r="AD62" s="165"/>
      <c r="AE62" s="177"/>
    </row>
    <row r="63" spans="1:31" ht="16.5" customHeight="1" thickTop="1">
      <c r="A63" s="399"/>
      <c r="B63" s="424"/>
      <c r="C63" s="426"/>
      <c r="D63" s="436"/>
      <c r="E63" s="329"/>
      <c r="F63" s="329"/>
      <c r="G63" s="589"/>
      <c r="H63" s="329"/>
      <c r="I63" s="403"/>
      <c r="J63" s="553"/>
      <c r="K63" s="553"/>
      <c r="L63" s="553"/>
      <c r="M63" s="553"/>
      <c r="N63" s="446"/>
      <c r="O63" s="403"/>
      <c r="P63" s="406"/>
      <c r="Q63" s="580"/>
      <c r="R63" s="412"/>
      <c r="S63" s="554"/>
      <c r="T63" s="555"/>
      <c r="U63" s="417"/>
      <c r="V63" s="199"/>
      <c r="W63" s="184"/>
      <c r="X63" s="184"/>
      <c r="Y63" s="184"/>
      <c r="Z63" s="184"/>
      <c r="AA63" s="184"/>
      <c r="AB63" s="184"/>
      <c r="AC63" s="333"/>
      <c r="AD63" s="166"/>
      <c r="AE63" s="177"/>
    </row>
    <row r="64" spans="1:31" ht="21.75" customHeight="1" thickBot="1">
      <c r="A64" s="399"/>
      <c r="B64" s="424"/>
      <c r="C64" s="420" t="s">
        <v>19</v>
      </c>
      <c r="D64" s="421" t="s">
        <v>17</v>
      </c>
      <c r="E64" s="329"/>
      <c r="F64" s="329"/>
      <c r="G64" s="325">
        <f>11*120</f>
        <v>1320</v>
      </c>
      <c r="H64" s="329"/>
      <c r="I64" s="403"/>
      <c r="J64" s="239">
        <f>$G64*J$5</f>
        <v>594</v>
      </c>
      <c r="K64" s="239">
        <f>$G64*K$5</f>
        <v>354.15599999999995</v>
      </c>
      <c r="L64" s="239">
        <f>$G64*L$5</f>
        <v>353.62800000000004</v>
      </c>
      <c r="M64" s="239">
        <f>$G64*M$5</f>
        <v>18.216000000000001</v>
      </c>
      <c r="N64" s="43"/>
      <c r="O64" s="403"/>
      <c r="P64" s="406"/>
      <c r="Q64" s="580"/>
      <c r="R64" s="412"/>
      <c r="S64" s="554"/>
      <c r="T64" s="555"/>
      <c r="U64" s="418"/>
      <c r="V64" s="199"/>
      <c r="W64" s="184"/>
      <c r="X64" s="184"/>
      <c r="Y64" s="184"/>
      <c r="Z64" s="184"/>
      <c r="AA64" s="184"/>
      <c r="AB64" s="184"/>
      <c r="AC64" s="333"/>
      <c r="AD64" s="234"/>
      <c r="AE64" s="177"/>
    </row>
    <row r="65" spans="1:31" ht="21.75" customHeight="1" thickTop="1" thickBot="1">
      <c r="A65" s="399"/>
      <c r="B65" s="425"/>
      <c r="C65" s="407"/>
      <c r="D65" s="422"/>
      <c r="E65" s="22"/>
      <c r="F65" s="22"/>
      <c r="G65" s="22"/>
      <c r="H65" s="240">
        <f>34*120</f>
        <v>4080</v>
      </c>
      <c r="I65" s="404"/>
      <c r="J65" s="241">
        <f>$H65*J$6</f>
        <v>1441.056</v>
      </c>
      <c r="K65" s="241">
        <f t="shared" ref="K65:M65" si="7">$H65*K$6</f>
        <v>1730.7360000000001</v>
      </c>
      <c r="L65" s="241">
        <f t="shared" si="7"/>
        <v>864.95999999999992</v>
      </c>
      <c r="M65" s="241">
        <f t="shared" si="7"/>
        <v>43.247999999999998</v>
      </c>
      <c r="N65" s="136"/>
      <c r="O65" s="404"/>
      <c r="P65" s="407"/>
      <c r="Q65" s="581"/>
      <c r="R65" s="413"/>
      <c r="S65" s="453"/>
      <c r="T65" s="464"/>
      <c r="U65" s="419"/>
      <c r="V65" s="201"/>
      <c r="W65" s="197"/>
      <c r="X65" s="197"/>
      <c r="Y65" s="186"/>
      <c r="Z65" s="186"/>
      <c r="AA65" s="186"/>
      <c r="AB65" s="186"/>
      <c r="AC65" s="356"/>
      <c r="AD65" s="167"/>
      <c r="AE65" s="177">
        <f>SUM(V62:AC65)+Q62</f>
        <v>24.279069767441861</v>
      </c>
    </row>
    <row r="66" spans="1:31" ht="21" customHeight="1" thickTop="1" thickBot="1">
      <c r="A66" s="399" t="s">
        <v>24</v>
      </c>
      <c r="B66" s="423">
        <v>42901</v>
      </c>
      <c r="C66" s="405" t="s">
        <v>16</v>
      </c>
      <c r="D66" s="435" t="s">
        <v>22</v>
      </c>
      <c r="E66" s="496"/>
      <c r="F66" s="496"/>
      <c r="G66" s="496"/>
      <c r="H66" s="586">
        <f>44*120</f>
        <v>5280</v>
      </c>
      <c r="I66" s="402"/>
      <c r="J66" s="584">
        <f>$H66*J6</f>
        <v>1864.8960000000002</v>
      </c>
      <c r="K66" s="584">
        <f t="shared" ref="K66:M66" si="8">$H66*K6</f>
        <v>2239.7760000000003</v>
      </c>
      <c r="L66" s="584">
        <f t="shared" si="8"/>
        <v>1119.3599999999999</v>
      </c>
      <c r="M66" s="584">
        <f t="shared" si="8"/>
        <v>55.968000000000004</v>
      </c>
      <c r="N66" s="400"/>
      <c r="O66" s="402"/>
      <c r="P66" s="405">
        <f>SUM(E66:H69)</f>
        <v>8160</v>
      </c>
      <c r="Q66" s="579">
        <f>P66*$R$7/$D$5</f>
        <v>18.976744186046513</v>
      </c>
      <c r="R66" s="411">
        <f>Q66/$R$7</f>
        <v>0.79069767441860472</v>
      </c>
      <c r="S66" s="452">
        <f>+$D$5-P66</f>
        <v>2160</v>
      </c>
      <c r="T66" s="463">
        <f>+S66/$D$5</f>
        <v>0.20930232558139536</v>
      </c>
      <c r="U66" s="324"/>
      <c r="V66" s="220"/>
      <c r="W66" s="185"/>
      <c r="X66" s="185"/>
      <c r="Y66" s="185"/>
      <c r="Z66" s="185"/>
      <c r="AA66" s="185"/>
      <c r="AB66" s="185"/>
      <c r="AC66" s="360"/>
      <c r="AD66" s="165"/>
      <c r="AE66" s="177"/>
    </row>
    <row r="67" spans="1:31" ht="21" customHeight="1" thickTop="1">
      <c r="A67" s="399"/>
      <c r="B67" s="506"/>
      <c r="C67" s="426"/>
      <c r="D67" s="436"/>
      <c r="E67" s="497"/>
      <c r="F67" s="497"/>
      <c r="G67" s="497"/>
      <c r="H67" s="587"/>
      <c r="I67" s="403"/>
      <c r="J67" s="585"/>
      <c r="K67" s="585"/>
      <c r="L67" s="585"/>
      <c r="M67" s="585"/>
      <c r="N67" s="446"/>
      <c r="O67" s="403"/>
      <c r="P67" s="406"/>
      <c r="Q67" s="580"/>
      <c r="R67" s="412"/>
      <c r="S67" s="554"/>
      <c r="T67" s="555"/>
      <c r="U67" s="460">
        <f>Q66+Y67+Y69</f>
        <v>18.976744186046513</v>
      </c>
      <c r="V67" s="199"/>
      <c r="W67" s="184"/>
      <c r="X67" s="184"/>
      <c r="Y67" s="184"/>
      <c r="Z67" s="184"/>
      <c r="AA67" s="184"/>
      <c r="AB67" s="184"/>
      <c r="AC67" s="333"/>
      <c r="AD67" s="166"/>
      <c r="AE67" s="177"/>
    </row>
    <row r="68" spans="1:31" ht="22.5" customHeight="1" thickBot="1">
      <c r="A68" s="399"/>
      <c r="B68" s="506"/>
      <c r="C68" s="420" t="s">
        <v>19</v>
      </c>
      <c r="D68" s="421" t="s">
        <v>17</v>
      </c>
      <c r="E68" s="39"/>
      <c r="F68" s="39"/>
      <c r="G68" s="39"/>
      <c r="H68" s="253">
        <f>10*120</f>
        <v>1200</v>
      </c>
      <c r="I68" s="403"/>
      <c r="J68" s="254">
        <f>$H68*J6</f>
        <v>423.84000000000003</v>
      </c>
      <c r="K68" s="254">
        <f t="shared" ref="K68:M68" si="9">$H68*K6</f>
        <v>509.04</v>
      </c>
      <c r="L68" s="254">
        <f t="shared" si="9"/>
        <v>254.4</v>
      </c>
      <c r="M68" s="254">
        <f t="shared" si="9"/>
        <v>12.72</v>
      </c>
      <c r="N68" s="43"/>
      <c r="O68" s="403"/>
      <c r="P68" s="406"/>
      <c r="Q68" s="580"/>
      <c r="R68" s="412"/>
      <c r="S68" s="554"/>
      <c r="T68" s="555"/>
      <c r="U68" s="461"/>
      <c r="V68" s="199"/>
      <c r="W68" s="184"/>
      <c r="X68" s="184"/>
      <c r="Y68" s="184"/>
      <c r="Z68" s="184"/>
      <c r="AA68" s="184"/>
      <c r="AB68" s="270">
        <v>5</v>
      </c>
      <c r="AC68" s="368"/>
      <c r="AD68" s="312" t="s">
        <v>81</v>
      </c>
      <c r="AE68" s="177"/>
    </row>
    <row r="69" spans="1:31" ht="22.5" customHeight="1" thickTop="1" thickBot="1">
      <c r="A69" s="399"/>
      <c r="B69" s="506"/>
      <c r="C69" s="506"/>
      <c r="D69" s="422"/>
      <c r="E69" s="244">
        <f>14*120</f>
        <v>1680</v>
      </c>
      <c r="F69" s="22"/>
      <c r="G69" s="22"/>
      <c r="H69" s="22"/>
      <c r="I69" s="404"/>
      <c r="J69" s="331">
        <f>$E69*J3</f>
        <v>772.80000000000007</v>
      </c>
      <c r="K69" s="331">
        <f t="shared" ref="K69:M69" si="10">$E69*K3</f>
        <v>514.41600000000005</v>
      </c>
      <c r="L69" s="331">
        <f t="shared" si="10"/>
        <v>369.6</v>
      </c>
      <c r="M69" s="331">
        <f t="shared" si="10"/>
        <v>23.184000000000001</v>
      </c>
      <c r="N69" s="136"/>
      <c r="O69" s="404"/>
      <c r="P69" s="406"/>
      <c r="Q69" s="581"/>
      <c r="R69" s="413"/>
      <c r="S69" s="453"/>
      <c r="T69" s="464"/>
      <c r="U69" s="461"/>
      <c r="V69" s="201"/>
      <c r="W69" s="197"/>
      <c r="X69" s="197"/>
      <c r="Y69" s="186"/>
      <c r="Z69" s="186"/>
      <c r="AA69" s="186"/>
      <c r="AB69" s="186"/>
      <c r="AC69" s="356"/>
      <c r="AD69" s="167"/>
      <c r="AE69" s="177">
        <f>SUM(V66:AC69)+Q66</f>
        <v>23.976744186046513</v>
      </c>
    </row>
    <row r="70" spans="1:31" ht="22.5" customHeight="1" thickTop="1" thickBot="1">
      <c r="A70" s="399" t="s">
        <v>25</v>
      </c>
      <c r="B70" s="423">
        <v>42902</v>
      </c>
      <c r="C70" s="405" t="s">
        <v>16</v>
      </c>
      <c r="D70" s="435" t="s">
        <v>22</v>
      </c>
      <c r="E70" s="571">
        <f>34*120</f>
        <v>4080</v>
      </c>
      <c r="F70" s="496"/>
      <c r="G70" s="496"/>
      <c r="H70" s="496"/>
      <c r="I70" s="21"/>
      <c r="J70" s="573">
        <f>$E70*J3</f>
        <v>1876.8000000000002</v>
      </c>
      <c r="K70" s="573">
        <f t="shared" ref="K70:L70" si="11">$E70*K3</f>
        <v>1249.296</v>
      </c>
      <c r="L70" s="573">
        <f t="shared" si="11"/>
        <v>897.6</v>
      </c>
      <c r="M70" s="573">
        <f>$E70*M3</f>
        <v>56.304000000000002</v>
      </c>
      <c r="N70" s="400"/>
      <c r="O70" s="21"/>
      <c r="P70" s="405">
        <f>SUM(E70:H73)</f>
        <v>8880</v>
      </c>
      <c r="Q70" s="579">
        <f>P70*$R$7/$D$5</f>
        <v>20.651162790697676</v>
      </c>
      <c r="R70" s="411">
        <f>Q70/$R$7</f>
        <v>0.86046511627906985</v>
      </c>
      <c r="S70" s="452">
        <f>+$D$5-P70</f>
        <v>1440</v>
      </c>
      <c r="T70" s="463">
        <f>+S70/$D$5</f>
        <v>0.13953488372093023</v>
      </c>
      <c r="U70" s="321"/>
      <c r="V70" s="220"/>
      <c r="W70" s="185"/>
      <c r="X70" s="185"/>
      <c r="Y70" s="185"/>
      <c r="Z70" s="185"/>
      <c r="AA70" s="185"/>
      <c r="AB70" s="185"/>
      <c r="AC70" s="360"/>
      <c r="AD70" s="165"/>
      <c r="AE70" s="177"/>
    </row>
    <row r="71" spans="1:31" ht="22.5" customHeight="1" thickTop="1">
      <c r="A71" s="399"/>
      <c r="B71" s="424"/>
      <c r="C71" s="426"/>
      <c r="D71" s="436"/>
      <c r="E71" s="572"/>
      <c r="F71" s="497"/>
      <c r="G71" s="497"/>
      <c r="H71" s="497"/>
      <c r="I71" s="21"/>
      <c r="J71" s="568"/>
      <c r="K71" s="568"/>
      <c r="L71" s="568"/>
      <c r="M71" s="568"/>
      <c r="N71" s="446"/>
      <c r="O71" s="21"/>
      <c r="P71" s="406"/>
      <c r="Q71" s="580"/>
      <c r="R71" s="412"/>
      <c r="S71" s="554"/>
      <c r="T71" s="555"/>
      <c r="U71" s="442">
        <f>Y71+Y73+Q70</f>
        <v>20.651162790697676</v>
      </c>
      <c r="V71" s="199"/>
      <c r="W71" s="184"/>
      <c r="X71" s="184"/>
      <c r="Y71" s="184"/>
      <c r="Z71" s="184"/>
      <c r="AA71" s="252">
        <v>3.25</v>
      </c>
      <c r="AB71" s="252"/>
      <c r="AC71" s="367"/>
      <c r="AD71" s="132" t="s">
        <v>84</v>
      </c>
      <c r="AE71" s="177"/>
    </row>
    <row r="72" spans="1:31" ht="22.5" customHeight="1" thickBot="1">
      <c r="A72" s="399"/>
      <c r="B72" s="424"/>
      <c r="C72" s="420" t="s">
        <v>19</v>
      </c>
      <c r="D72" s="421" t="s">
        <v>17</v>
      </c>
      <c r="E72" s="330">
        <f>26*120</f>
        <v>3120</v>
      </c>
      <c r="F72" s="39"/>
      <c r="G72" s="578"/>
      <c r="H72" s="39"/>
      <c r="I72" s="21"/>
      <c r="J72" s="247">
        <f>$E72*J3</f>
        <v>1435.2</v>
      </c>
      <c r="K72" s="247">
        <f t="shared" ref="K72:M72" si="12">$E72*K3</f>
        <v>955.34400000000005</v>
      </c>
      <c r="L72" s="247">
        <f t="shared" si="12"/>
        <v>686.4</v>
      </c>
      <c r="M72" s="247">
        <f t="shared" si="12"/>
        <v>43.055999999999997</v>
      </c>
      <c r="N72" s="43"/>
      <c r="O72" s="21"/>
      <c r="P72" s="406"/>
      <c r="Q72" s="580"/>
      <c r="R72" s="412"/>
      <c r="S72" s="554"/>
      <c r="T72" s="555"/>
      <c r="U72" s="406"/>
      <c r="V72" s="199"/>
      <c r="W72" s="184"/>
      <c r="X72" s="184"/>
      <c r="Y72" s="184"/>
      <c r="Z72" s="184"/>
      <c r="AA72" s="184"/>
      <c r="AB72" s="184"/>
      <c r="AC72" s="333"/>
      <c r="AD72" s="234"/>
      <c r="AE72" s="177"/>
    </row>
    <row r="73" spans="1:31" ht="28.5" customHeight="1" thickTop="1" thickBot="1">
      <c r="A73" s="399"/>
      <c r="B73" s="425"/>
      <c r="C73" s="407"/>
      <c r="D73" s="422"/>
      <c r="E73" s="245"/>
      <c r="F73" s="246">
        <f>14*120</f>
        <v>1680</v>
      </c>
      <c r="G73" s="398"/>
      <c r="H73" s="22"/>
      <c r="I73" s="21"/>
      <c r="J73" s="323">
        <f>$F73*J4</f>
        <v>756</v>
      </c>
      <c r="K73" s="323">
        <f t="shared" ref="K73:N73" si="13">$F73*K4</f>
        <v>450.74399999999997</v>
      </c>
      <c r="L73" s="323">
        <f t="shared" si="13"/>
        <v>450.07200000000006</v>
      </c>
      <c r="M73" s="323">
        <f t="shared" si="13"/>
        <v>23.184000000000001</v>
      </c>
      <c r="N73" s="323">
        <f t="shared" si="13"/>
        <v>12.432</v>
      </c>
      <c r="O73" s="23"/>
      <c r="P73" s="407"/>
      <c r="Q73" s="581"/>
      <c r="R73" s="413"/>
      <c r="S73" s="453"/>
      <c r="T73" s="464"/>
      <c r="U73" s="407"/>
      <c r="V73" s="201"/>
      <c r="W73" s="197"/>
      <c r="X73" s="197"/>
      <c r="Y73" s="186"/>
      <c r="Z73" s="186"/>
      <c r="AA73" s="186"/>
      <c r="AB73" s="186"/>
      <c r="AC73" s="356"/>
      <c r="AD73" s="167"/>
      <c r="AE73" s="177">
        <f>SUM(V70:AC73)+Q70</f>
        <v>23.901162790697676</v>
      </c>
    </row>
    <row r="74" spans="1:31" ht="19.5" customHeight="1" thickTop="1" thickBot="1">
      <c r="A74" s="399" t="s">
        <v>26</v>
      </c>
      <c r="B74" s="423">
        <v>42903</v>
      </c>
      <c r="C74" s="405" t="s">
        <v>16</v>
      </c>
      <c r="D74" s="435" t="s">
        <v>22</v>
      </c>
      <c r="E74" s="329"/>
      <c r="F74" s="582">
        <v>4200</v>
      </c>
      <c r="G74" s="496"/>
      <c r="H74" s="496"/>
      <c r="I74" s="403"/>
      <c r="J74" s="428">
        <f>$F74*J$4</f>
        <v>1890</v>
      </c>
      <c r="K74" s="428">
        <f>$F74*K$4</f>
        <v>1126.8599999999999</v>
      </c>
      <c r="L74" s="428">
        <f>$F74*L$4</f>
        <v>1125.18</v>
      </c>
      <c r="M74" s="428">
        <f>$F74*M$4</f>
        <v>57.96</v>
      </c>
      <c r="N74" s="428">
        <f>$F74*N$4</f>
        <v>31.080000000000002</v>
      </c>
      <c r="O74" s="403"/>
      <c r="P74" s="405">
        <f>SUM(E74:H77)</f>
        <v>4200</v>
      </c>
      <c r="Q74" s="579">
        <f>P74*$R$7/$D$5</f>
        <v>9.7674418604651159</v>
      </c>
      <c r="R74" s="411">
        <f>Q74/$R$7</f>
        <v>0.40697674418604651</v>
      </c>
      <c r="S74" s="452">
        <f>+$D$5-P74</f>
        <v>6120</v>
      </c>
      <c r="T74" s="463">
        <f>+S74/$D$5</f>
        <v>0.59302325581395354</v>
      </c>
      <c r="U74" s="322"/>
      <c r="V74" s="220"/>
      <c r="W74" s="185"/>
      <c r="X74" s="185"/>
      <c r="Y74" s="185"/>
      <c r="Z74" s="185"/>
      <c r="AA74" s="185"/>
      <c r="AB74" s="185"/>
      <c r="AC74" s="360"/>
      <c r="AD74" s="165"/>
      <c r="AE74" s="177"/>
    </row>
    <row r="75" spans="1:31" ht="19.5" customHeight="1" thickTop="1">
      <c r="A75" s="399"/>
      <c r="B75" s="424"/>
      <c r="C75" s="426"/>
      <c r="D75" s="436"/>
      <c r="E75" s="329"/>
      <c r="F75" s="583"/>
      <c r="G75" s="497"/>
      <c r="H75" s="497"/>
      <c r="I75" s="403"/>
      <c r="J75" s="429"/>
      <c r="K75" s="429"/>
      <c r="L75" s="429"/>
      <c r="M75" s="429"/>
      <c r="N75" s="429"/>
      <c r="O75" s="403"/>
      <c r="P75" s="406"/>
      <c r="Q75" s="580"/>
      <c r="R75" s="412"/>
      <c r="S75" s="554"/>
      <c r="T75" s="555"/>
      <c r="U75" s="442">
        <f>Q74+Y76</f>
        <v>9.7674418604651159</v>
      </c>
      <c r="V75" s="199"/>
      <c r="W75" s="184"/>
      <c r="X75" s="184"/>
      <c r="Y75" s="184"/>
      <c r="Z75" s="184"/>
      <c r="AA75" s="184"/>
      <c r="AB75" s="184"/>
      <c r="AC75" s="333"/>
      <c r="AD75" s="166"/>
      <c r="AE75" s="177"/>
    </row>
    <row r="76" spans="1:31" ht="19.5" customHeight="1">
      <c r="A76" s="399"/>
      <c r="B76" s="424"/>
      <c r="C76" s="420" t="s">
        <v>19</v>
      </c>
      <c r="D76" s="421" t="s">
        <v>17</v>
      </c>
      <c r="E76" s="39"/>
      <c r="F76" s="39"/>
      <c r="G76" s="578"/>
      <c r="H76" s="39"/>
      <c r="I76" s="41"/>
      <c r="J76" s="433">
        <f>$F76*J$4</f>
        <v>0</v>
      </c>
      <c r="K76" s="433">
        <f>$F76*K$4</f>
        <v>0</v>
      </c>
      <c r="L76" s="433">
        <f>$F76*L$4</f>
        <v>0</v>
      </c>
      <c r="M76" s="433">
        <f>$F76*M$4</f>
        <v>0</v>
      </c>
      <c r="N76" s="559">
        <f>$F76*N$4</f>
        <v>0</v>
      </c>
      <c r="O76" s="21"/>
      <c r="P76" s="406"/>
      <c r="Q76" s="580"/>
      <c r="R76" s="412"/>
      <c r="S76" s="554"/>
      <c r="T76" s="555"/>
      <c r="U76" s="431"/>
      <c r="V76" s="199"/>
      <c r="W76" s="184"/>
      <c r="X76" s="184"/>
      <c r="Y76" s="184"/>
      <c r="Z76" s="184"/>
      <c r="AA76" s="184"/>
      <c r="AB76" s="270">
        <v>14.25</v>
      </c>
      <c r="AC76" s="368"/>
      <c r="AD76" s="312" t="s">
        <v>83</v>
      </c>
      <c r="AE76" s="177"/>
    </row>
    <row r="77" spans="1:31" ht="19.5" customHeight="1" thickBot="1">
      <c r="A77" s="399"/>
      <c r="B77" s="425"/>
      <c r="C77" s="407"/>
      <c r="D77" s="422"/>
      <c r="E77" s="22"/>
      <c r="F77" s="22"/>
      <c r="G77" s="398"/>
      <c r="H77" s="22"/>
      <c r="I77" s="142"/>
      <c r="J77" s="434"/>
      <c r="K77" s="434"/>
      <c r="L77" s="434"/>
      <c r="M77" s="434"/>
      <c r="N77" s="500"/>
      <c r="O77" s="21"/>
      <c r="P77" s="407"/>
      <c r="Q77" s="581"/>
      <c r="R77" s="413"/>
      <c r="S77" s="453"/>
      <c r="T77" s="464"/>
      <c r="U77" s="432"/>
      <c r="V77" s="201"/>
      <c r="W77" s="197"/>
      <c r="X77" s="197"/>
      <c r="Y77" s="186"/>
      <c r="Z77" s="186"/>
      <c r="AA77" s="186"/>
      <c r="AB77" s="186"/>
      <c r="AC77" s="356"/>
      <c r="AD77" s="167"/>
      <c r="AE77" s="177">
        <f>SUM(V74:AC77)+Q74</f>
        <v>24.017441860465116</v>
      </c>
    </row>
    <row r="78" spans="1:31" ht="19.5" customHeight="1" thickTop="1" thickBot="1">
      <c r="A78" s="399" t="s">
        <v>28</v>
      </c>
      <c r="B78" s="487">
        <v>42904</v>
      </c>
      <c r="C78" s="452" t="s">
        <v>16</v>
      </c>
      <c r="D78" s="435" t="s">
        <v>22</v>
      </c>
      <c r="E78" s="496"/>
      <c r="F78" s="496"/>
      <c r="G78" s="496"/>
      <c r="H78" s="496"/>
      <c r="I78" s="21"/>
      <c r="J78" s="428">
        <f>$F78*J$4</f>
        <v>0</v>
      </c>
      <c r="K78" s="428">
        <f>$F78*K$4</f>
        <v>0</v>
      </c>
      <c r="L78" s="428">
        <f>$F78*L$4</f>
        <v>0</v>
      </c>
      <c r="M78" s="428">
        <f>$F78*M$4</f>
        <v>0</v>
      </c>
      <c r="N78" s="564">
        <f>$F78*N$4</f>
        <v>0</v>
      </c>
      <c r="O78" s="21"/>
      <c r="P78" s="405">
        <f>G78</f>
        <v>0</v>
      </c>
      <c r="Q78" s="452">
        <f>P78*$R$7/$D$5</f>
        <v>0</v>
      </c>
      <c r="R78" s="411">
        <f>Q78/$R$7</f>
        <v>0</v>
      </c>
      <c r="S78" s="452">
        <f>+$D$5-P78</f>
        <v>10320</v>
      </c>
      <c r="T78" s="463">
        <f>+S78/$D$5</f>
        <v>1</v>
      </c>
      <c r="U78" s="144"/>
      <c r="V78" s="220"/>
      <c r="W78" s="185"/>
      <c r="X78" s="185"/>
      <c r="Y78" s="185"/>
      <c r="Z78" s="185"/>
      <c r="AA78" s="185"/>
      <c r="AB78" s="185"/>
      <c r="AC78" s="360"/>
      <c r="AD78" s="165"/>
      <c r="AE78" s="177"/>
    </row>
    <row r="79" spans="1:31" ht="19.5" customHeight="1" thickTop="1">
      <c r="A79" s="399"/>
      <c r="B79" s="561"/>
      <c r="C79" s="562"/>
      <c r="D79" s="436"/>
      <c r="E79" s="497"/>
      <c r="F79" s="497"/>
      <c r="G79" s="497"/>
      <c r="H79" s="497"/>
      <c r="I79" s="21"/>
      <c r="J79" s="429"/>
      <c r="K79" s="429"/>
      <c r="L79" s="429"/>
      <c r="M79" s="429"/>
      <c r="N79" s="501"/>
      <c r="O79" s="25"/>
      <c r="P79" s="406"/>
      <c r="Q79" s="554"/>
      <c r="R79" s="412"/>
      <c r="S79" s="554"/>
      <c r="T79" s="555"/>
      <c r="U79" s="45"/>
      <c r="V79" s="199"/>
      <c r="W79" s="184"/>
      <c r="X79" s="184"/>
      <c r="Y79" s="184"/>
      <c r="Z79" s="184"/>
      <c r="AA79" s="184"/>
      <c r="AB79" s="184"/>
      <c r="AC79" s="333"/>
      <c r="AD79" s="166"/>
      <c r="AE79" s="177"/>
    </row>
    <row r="80" spans="1:31" ht="20.25" customHeight="1">
      <c r="A80" s="399"/>
      <c r="B80" s="561"/>
      <c r="C80" s="563" t="s">
        <v>19</v>
      </c>
      <c r="D80" s="537" t="s">
        <v>101</v>
      </c>
      <c r="E80" s="538"/>
      <c r="F80" s="538"/>
      <c r="G80" s="538"/>
      <c r="H80" s="538"/>
      <c r="I80" s="538"/>
      <c r="J80" s="538"/>
      <c r="K80" s="538"/>
      <c r="L80" s="538"/>
      <c r="M80" s="538"/>
      <c r="N80" s="539"/>
      <c r="O80" s="21"/>
      <c r="P80" s="406"/>
      <c r="Q80" s="554"/>
      <c r="R80" s="412"/>
      <c r="S80" s="554"/>
      <c r="T80" s="555"/>
      <c r="U80" s="145"/>
      <c r="V80" s="199"/>
      <c r="W80" s="184"/>
      <c r="X80" s="184"/>
      <c r="Y80" s="184"/>
      <c r="Z80" s="184"/>
      <c r="AA80" s="184"/>
      <c r="AB80" s="270">
        <v>12</v>
      </c>
      <c r="AC80" s="368"/>
      <c r="AD80" s="312" t="s">
        <v>83</v>
      </c>
      <c r="AE80" s="177"/>
    </row>
    <row r="81" spans="1:31" ht="20.25" customHeight="1" thickBot="1">
      <c r="A81" s="399"/>
      <c r="B81" s="488"/>
      <c r="C81" s="453"/>
      <c r="D81" s="537"/>
      <c r="E81" s="538"/>
      <c r="F81" s="538"/>
      <c r="G81" s="538"/>
      <c r="H81" s="538"/>
      <c r="I81" s="538"/>
      <c r="J81" s="538"/>
      <c r="K81" s="538"/>
      <c r="L81" s="538"/>
      <c r="M81" s="538"/>
      <c r="N81" s="539"/>
      <c r="O81" s="23"/>
      <c r="P81" s="407"/>
      <c r="Q81" s="453"/>
      <c r="R81" s="413"/>
      <c r="S81" s="453"/>
      <c r="T81" s="464"/>
      <c r="U81" s="47"/>
      <c r="V81" s="201"/>
      <c r="W81" s="197"/>
      <c r="X81" s="197"/>
      <c r="Y81" s="186"/>
      <c r="Z81" s="186"/>
      <c r="AA81" s="186"/>
      <c r="AB81" s="186"/>
      <c r="AC81" s="356"/>
      <c r="AD81" s="167"/>
      <c r="AE81" s="177">
        <f>SUM(V78:AC81)+Q78</f>
        <v>12</v>
      </c>
    </row>
    <row r="82" spans="1:31" ht="17.25" customHeight="1" thickTop="1">
      <c r="A82" s="399" t="s">
        <v>15</v>
      </c>
      <c r="B82" s="445">
        <v>42905</v>
      </c>
      <c r="C82" s="420" t="s">
        <v>16</v>
      </c>
      <c r="D82" s="537"/>
      <c r="E82" s="538"/>
      <c r="F82" s="538"/>
      <c r="G82" s="538"/>
      <c r="H82" s="538"/>
      <c r="I82" s="538"/>
      <c r="J82" s="538"/>
      <c r="K82" s="538"/>
      <c r="L82" s="538"/>
      <c r="M82" s="538"/>
      <c r="N82" s="539"/>
      <c r="O82" s="21"/>
      <c r="P82" s="420">
        <f>F84</f>
        <v>1080</v>
      </c>
      <c r="Q82" s="575">
        <f>P82*$R$6/$D$6</f>
        <v>2.5116279069767442</v>
      </c>
      <c r="R82" s="411">
        <f>Q82/$R$6</f>
        <v>0.20930232558139536</v>
      </c>
      <c r="S82" s="452">
        <f>+$D$6-P82</f>
        <v>4080</v>
      </c>
      <c r="T82" s="463">
        <f>+S82/$D$6</f>
        <v>0.79069767441860461</v>
      </c>
      <c r="U82" s="104"/>
      <c r="V82" s="266">
        <v>2</v>
      </c>
      <c r="W82" s="204"/>
      <c r="X82" s="204"/>
      <c r="Y82" s="204"/>
      <c r="Z82" s="204"/>
      <c r="AA82" s="204"/>
      <c r="AB82" s="204"/>
      <c r="AC82" s="365"/>
      <c r="AD82" s="347" t="s">
        <v>71</v>
      </c>
      <c r="AE82" s="177"/>
    </row>
    <row r="83" spans="1:31" ht="17.25" customHeight="1">
      <c r="A83" s="399"/>
      <c r="B83" s="424"/>
      <c r="C83" s="426"/>
      <c r="D83" s="537"/>
      <c r="E83" s="538"/>
      <c r="F83" s="538"/>
      <c r="G83" s="538"/>
      <c r="H83" s="538"/>
      <c r="I83" s="538"/>
      <c r="J83" s="538"/>
      <c r="K83" s="538"/>
      <c r="L83" s="538"/>
      <c r="M83" s="538"/>
      <c r="N83" s="539"/>
      <c r="O83" s="21"/>
      <c r="P83" s="406"/>
      <c r="Q83" s="576"/>
      <c r="R83" s="412"/>
      <c r="S83" s="554"/>
      <c r="T83" s="555"/>
      <c r="U83" s="430">
        <f>Q82+Y85</f>
        <v>2.5116279069767442</v>
      </c>
      <c r="V83" s="199"/>
      <c r="W83" s="184"/>
      <c r="X83" s="184"/>
      <c r="Y83" s="184"/>
      <c r="Z83" s="184"/>
      <c r="AA83" s="184"/>
      <c r="AB83" s="184"/>
      <c r="AC83" s="333"/>
      <c r="AD83" s="166"/>
      <c r="AE83" s="177"/>
    </row>
    <row r="84" spans="1:31" ht="17.25" customHeight="1">
      <c r="A84" s="399"/>
      <c r="B84" s="424"/>
      <c r="C84" s="420" t="s">
        <v>19</v>
      </c>
      <c r="D84" s="421" t="s">
        <v>22</v>
      </c>
      <c r="E84" s="329"/>
      <c r="F84" s="440">
        <v>1080</v>
      </c>
      <c r="G84" s="329"/>
      <c r="H84" s="329"/>
      <c r="I84" s="21"/>
      <c r="J84" s="433">
        <f>$F84*J$4</f>
        <v>486</v>
      </c>
      <c r="K84" s="433">
        <f>$F84*K$4</f>
        <v>289.76400000000001</v>
      </c>
      <c r="L84" s="433">
        <f>$F84*L$4</f>
        <v>289.33200000000005</v>
      </c>
      <c r="M84" s="433">
        <f>$F84*M$4</f>
        <v>14.904</v>
      </c>
      <c r="N84" s="433">
        <f>$F84*N$4</f>
        <v>7.992</v>
      </c>
      <c r="O84" s="21"/>
      <c r="P84" s="406"/>
      <c r="Q84" s="576"/>
      <c r="R84" s="412"/>
      <c r="S84" s="554"/>
      <c r="T84" s="555"/>
      <c r="U84" s="431"/>
      <c r="V84" s="199"/>
      <c r="W84" s="184"/>
      <c r="X84" s="184"/>
      <c r="Y84" s="184"/>
      <c r="Z84" s="184"/>
      <c r="AA84" s="184"/>
      <c r="AB84" s="369">
        <v>7.5</v>
      </c>
      <c r="AC84" s="368"/>
      <c r="AD84" s="312" t="s">
        <v>83</v>
      </c>
      <c r="AE84" s="177"/>
    </row>
    <row r="85" spans="1:31" ht="17.25" customHeight="1" thickBot="1">
      <c r="A85" s="399"/>
      <c r="B85" s="425"/>
      <c r="C85" s="407"/>
      <c r="D85" s="422"/>
      <c r="E85" s="22"/>
      <c r="F85" s="441"/>
      <c r="G85" s="22"/>
      <c r="H85" s="22"/>
      <c r="I85" s="23"/>
      <c r="J85" s="434"/>
      <c r="K85" s="434"/>
      <c r="L85" s="434"/>
      <c r="M85" s="434"/>
      <c r="N85" s="434"/>
      <c r="O85" s="23"/>
      <c r="P85" s="407"/>
      <c r="Q85" s="577"/>
      <c r="R85" s="413"/>
      <c r="S85" s="453"/>
      <c r="T85" s="464"/>
      <c r="U85" s="432"/>
      <c r="V85" s="201"/>
      <c r="W85" s="197"/>
      <c r="X85" s="197"/>
      <c r="Y85" s="186"/>
      <c r="Z85" s="186"/>
      <c r="AA85" s="186"/>
      <c r="AB85" s="186"/>
      <c r="AC85" s="356"/>
      <c r="AD85" s="167"/>
      <c r="AE85" s="177">
        <f>SUM(V82:AC85)+Q82</f>
        <v>12.011627906976745</v>
      </c>
    </row>
    <row r="86" spans="1:31" ht="18.75" customHeight="1" thickTop="1">
      <c r="A86" s="399" t="s">
        <v>21</v>
      </c>
      <c r="B86" s="423">
        <v>42906</v>
      </c>
      <c r="C86" s="405" t="s">
        <v>16</v>
      </c>
      <c r="D86" s="508" t="s">
        <v>17</v>
      </c>
      <c r="E86" s="329"/>
      <c r="F86" s="437">
        <v>5280</v>
      </c>
      <c r="G86" s="329"/>
      <c r="H86" s="329"/>
      <c r="I86" s="402"/>
      <c r="J86" s="574">
        <f>$F86*J$4</f>
        <v>2376</v>
      </c>
      <c r="K86" s="574">
        <f t="shared" ref="K86:N86" si="14">$F86*K$4</f>
        <v>1416.6239999999998</v>
      </c>
      <c r="L86" s="574">
        <f t="shared" si="14"/>
        <v>1414.5120000000002</v>
      </c>
      <c r="M86" s="574">
        <f t="shared" si="14"/>
        <v>72.864000000000004</v>
      </c>
      <c r="N86" s="574">
        <f t="shared" si="14"/>
        <v>39.072000000000003</v>
      </c>
      <c r="O86" s="402"/>
      <c r="P86" s="405">
        <f>+SUM(E86:H89)</f>
        <v>10560</v>
      </c>
      <c r="Q86" s="452">
        <f>P86*$R$7/$D$5</f>
        <v>24.558139534883722</v>
      </c>
      <c r="R86" s="411">
        <f>Q86/$R$7</f>
        <v>1.0232558139534884</v>
      </c>
      <c r="S86" s="452">
        <f>+$D$5-P86</f>
        <v>-240</v>
      </c>
      <c r="T86" s="463">
        <f>+S86/$D$5</f>
        <v>-2.3255813953488372E-2</v>
      </c>
      <c r="U86" s="320"/>
      <c r="V86" s="220"/>
      <c r="W86" s="185"/>
      <c r="X86" s="185"/>
      <c r="Y86" s="185"/>
      <c r="Z86" s="185"/>
      <c r="AA86" s="185"/>
      <c r="AB86" s="185"/>
      <c r="AC86" s="360"/>
      <c r="AD86" s="89"/>
      <c r="AE86" s="177"/>
    </row>
    <row r="87" spans="1:31" ht="18.75" customHeight="1">
      <c r="A87" s="399"/>
      <c r="B87" s="424"/>
      <c r="C87" s="426"/>
      <c r="D87" s="509"/>
      <c r="E87" s="329"/>
      <c r="F87" s="438"/>
      <c r="G87" s="329"/>
      <c r="H87" s="329"/>
      <c r="I87" s="403"/>
      <c r="J87" s="434"/>
      <c r="K87" s="434"/>
      <c r="L87" s="434"/>
      <c r="M87" s="434"/>
      <c r="N87" s="434"/>
      <c r="O87" s="403"/>
      <c r="P87" s="406"/>
      <c r="Q87" s="554"/>
      <c r="R87" s="412"/>
      <c r="S87" s="554"/>
      <c r="T87" s="555"/>
      <c r="U87" s="430">
        <f>Q86+Y87+Y89</f>
        <v>24.558139534883722</v>
      </c>
      <c r="V87" s="199"/>
      <c r="W87" s="184"/>
      <c r="X87" s="184"/>
      <c r="Y87" s="184"/>
      <c r="Z87" s="184"/>
      <c r="AA87" s="184"/>
      <c r="AB87" s="184"/>
      <c r="AC87" s="333"/>
      <c r="AD87" s="166"/>
      <c r="AE87" s="177"/>
    </row>
    <row r="88" spans="1:31" ht="18.75" customHeight="1">
      <c r="A88" s="399"/>
      <c r="B88" s="424"/>
      <c r="C88" s="420" t="s">
        <v>19</v>
      </c>
      <c r="D88" s="421" t="s">
        <v>22</v>
      </c>
      <c r="E88" s="329"/>
      <c r="F88" s="440">
        <v>5280</v>
      </c>
      <c r="G88" s="329"/>
      <c r="H88" s="329"/>
      <c r="I88" s="403"/>
      <c r="J88" s="433">
        <f>$F88*J$4</f>
        <v>2376</v>
      </c>
      <c r="K88" s="433">
        <f t="shared" ref="K88:N88" si="15">$F88*K$4</f>
        <v>1416.6239999999998</v>
      </c>
      <c r="L88" s="433">
        <f t="shared" si="15"/>
        <v>1414.5120000000002</v>
      </c>
      <c r="M88" s="433">
        <f t="shared" si="15"/>
        <v>72.864000000000004</v>
      </c>
      <c r="N88" s="433">
        <f t="shared" si="15"/>
        <v>39.072000000000003</v>
      </c>
      <c r="O88" s="403"/>
      <c r="P88" s="406"/>
      <c r="Q88" s="554"/>
      <c r="R88" s="412"/>
      <c r="S88" s="554"/>
      <c r="T88" s="555"/>
      <c r="U88" s="431"/>
      <c r="V88" s="199"/>
      <c r="W88" s="184"/>
      <c r="X88" s="184"/>
      <c r="Y88" s="184"/>
      <c r="Z88" s="184"/>
      <c r="AA88" s="184"/>
      <c r="AB88" s="184"/>
      <c r="AC88" s="333"/>
      <c r="AD88" s="166"/>
      <c r="AE88" s="177"/>
    </row>
    <row r="89" spans="1:31" ht="18.75" customHeight="1" thickBot="1">
      <c r="A89" s="399"/>
      <c r="B89" s="425"/>
      <c r="C89" s="407"/>
      <c r="D89" s="422"/>
      <c r="E89" s="22"/>
      <c r="F89" s="438"/>
      <c r="G89" s="22"/>
      <c r="H89" s="22"/>
      <c r="I89" s="404"/>
      <c r="J89" s="434"/>
      <c r="K89" s="434"/>
      <c r="L89" s="434"/>
      <c r="M89" s="434"/>
      <c r="N89" s="434"/>
      <c r="O89" s="404"/>
      <c r="P89" s="407"/>
      <c r="Q89" s="453"/>
      <c r="R89" s="413"/>
      <c r="S89" s="453"/>
      <c r="T89" s="464"/>
      <c r="U89" s="432"/>
      <c r="V89" s="201"/>
      <c r="W89" s="197"/>
      <c r="X89" s="197"/>
      <c r="Y89" s="186"/>
      <c r="Z89" s="186"/>
      <c r="AA89" s="186"/>
      <c r="AB89" s="186"/>
      <c r="AC89" s="356"/>
      <c r="AD89" s="233"/>
      <c r="AE89" s="177">
        <f>SUM(V86:AC89)+Q86</f>
        <v>24.558139534883722</v>
      </c>
    </row>
    <row r="90" spans="1:31" ht="16.5" customHeight="1" thickTop="1" thickBot="1">
      <c r="A90" s="399" t="s">
        <v>23</v>
      </c>
      <c r="B90" s="423">
        <v>42907</v>
      </c>
      <c r="C90" s="405" t="s">
        <v>16</v>
      </c>
      <c r="D90" s="508" t="s">
        <v>17</v>
      </c>
      <c r="E90" s="329"/>
      <c r="F90" s="437">
        <v>5280</v>
      </c>
      <c r="G90" s="329"/>
      <c r="H90" s="329"/>
      <c r="I90" s="402"/>
      <c r="J90" s="574">
        <f>$F90*J$4</f>
        <v>2376</v>
      </c>
      <c r="K90" s="574">
        <f t="shared" ref="K90:N90" si="16">$F90*K$4</f>
        <v>1416.6239999999998</v>
      </c>
      <c r="L90" s="574">
        <f t="shared" si="16"/>
        <v>1414.5120000000002</v>
      </c>
      <c r="M90" s="574">
        <f t="shared" si="16"/>
        <v>72.864000000000004</v>
      </c>
      <c r="N90" s="574">
        <f t="shared" si="16"/>
        <v>39.072000000000003</v>
      </c>
      <c r="O90" s="402"/>
      <c r="P90" s="405">
        <f>SUM(E90:H93)</f>
        <v>10440</v>
      </c>
      <c r="Q90" s="452">
        <f>P90*$R$7/$D$5</f>
        <v>24.279069767441861</v>
      </c>
      <c r="R90" s="411">
        <f>Q90/$R$7</f>
        <v>1.0116279069767442</v>
      </c>
      <c r="S90" s="405">
        <f>+D77-P90</f>
        <v>-10440</v>
      </c>
      <c r="T90" s="463">
        <f>+S90/$D$5</f>
        <v>-1.0116279069767442</v>
      </c>
      <c r="U90" s="320"/>
      <c r="V90" s="220"/>
      <c r="W90" s="185"/>
      <c r="X90" s="185"/>
      <c r="Y90" s="185"/>
      <c r="Z90" s="185"/>
      <c r="AA90" s="185"/>
      <c r="AB90" s="185"/>
      <c r="AC90" s="360"/>
      <c r="AD90" s="165"/>
      <c r="AE90" s="177"/>
    </row>
    <row r="91" spans="1:31" ht="16.5" customHeight="1" thickTop="1">
      <c r="A91" s="399"/>
      <c r="B91" s="424"/>
      <c r="C91" s="426"/>
      <c r="D91" s="509"/>
      <c r="E91" s="329"/>
      <c r="F91" s="438"/>
      <c r="G91" s="329"/>
      <c r="H91" s="329"/>
      <c r="I91" s="403"/>
      <c r="J91" s="434"/>
      <c r="K91" s="434"/>
      <c r="L91" s="434"/>
      <c r="M91" s="434"/>
      <c r="N91" s="434"/>
      <c r="O91" s="403"/>
      <c r="P91" s="406"/>
      <c r="Q91" s="554"/>
      <c r="R91" s="412"/>
      <c r="S91" s="406"/>
      <c r="T91" s="555"/>
      <c r="U91" s="417"/>
      <c r="V91" s="199"/>
      <c r="W91" s="184"/>
      <c r="X91" s="184"/>
      <c r="Y91" s="184"/>
      <c r="Z91" s="184"/>
      <c r="AA91" s="184"/>
      <c r="AB91" s="184"/>
      <c r="AC91" s="333"/>
      <c r="AD91" s="166"/>
      <c r="AE91" s="177"/>
    </row>
    <row r="92" spans="1:31" ht="16.5" customHeight="1">
      <c r="A92" s="399"/>
      <c r="B92" s="424"/>
      <c r="C92" s="420" t="s">
        <v>19</v>
      </c>
      <c r="D92" s="421" t="s">
        <v>22</v>
      </c>
      <c r="E92" s="329"/>
      <c r="F92" s="440">
        <v>5160</v>
      </c>
      <c r="G92" s="329"/>
      <c r="H92" s="329"/>
      <c r="I92" s="403"/>
      <c r="J92" s="433">
        <f>$F92*J$4</f>
        <v>2322</v>
      </c>
      <c r="K92" s="433">
        <f t="shared" ref="K92:N92" si="17">$F92*K$4</f>
        <v>1384.4279999999999</v>
      </c>
      <c r="L92" s="433">
        <f t="shared" si="17"/>
        <v>1382.364</v>
      </c>
      <c r="M92" s="433">
        <f t="shared" si="17"/>
        <v>71.207999999999998</v>
      </c>
      <c r="N92" s="433">
        <f t="shared" si="17"/>
        <v>38.184000000000005</v>
      </c>
      <c r="O92" s="403"/>
      <c r="P92" s="406"/>
      <c r="Q92" s="554"/>
      <c r="R92" s="412"/>
      <c r="S92" s="406"/>
      <c r="T92" s="555"/>
      <c r="U92" s="418"/>
      <c r="V92" s="199"/>
      <c r="W92" s="184"/>
      <c r="X92" s="184"/>
      <c r="Y92" s="184"/>
      <c r="Z92" s="184"/>
      <c r="AA92" s="184"/>
      <c r="AB92" s="184"/>
      <c r="AC92" s="333"/>
      <c r="AD92" s="234"/>
      <c r="AE92" s="177"/>
    </row>
    <row r="93" spans="1:31" ht="16.5" customHeight="1" thickBot="1">
      <c r="A93" s="399"/>
      <c r="B93" s="425"/>
      <c r="C93" s="407"/>
      <c r="D93" s="422"/>
      <c r="E93" s="22"/>
      <c r="F93" s="438"/>
      <c r="G93" s="22"/>
      <c r="H93" s="22"/>
      <c r="I93" s="404"/>
      <c r="J93" s="434"/>
      <c r="K93" s="434"/>
      <c r="L93" s="434"/>
      <c r="M93" s="434"/>
      <c r="N93" s="434"/>
      <c r="O93" s="404"/>
      <c r="P93" s="407"/>
      <c r="Q93" s="453"/>
      <c r="R93" s="413"/>
      <c r="S93" s="407"/>
      <c r="T93" s="464"/>
      <c r="U93" s="419"/>
      <c r="V93" s="201"/>
      <c r="W93" s="197"/>
      <c r="X93" s="197"/>
      <c r="Y93" s="186"/>
      <c r="Z93" s="186"/>
      <c r="AA93" s="186"/>
      <c r="AB93" s="186"/>
      <c r="AC93" s="356"/>
      <c r="AD93" s="167"/>
      <c r="AE93" s="177">
        <f>SUM(V90:AC93)+Q90</f>
        <v>24.279069767441861</v>
      </c>
    </row>
    <row r="94" spans="1:31" ht="23.25" customHeight="1" thickTop="1" thickBot="1">
      <c r="A94" s="399" t="s">
        <v>24</v>
      </c>
      <c r="B94" s="423">
        <v>42908</v>
      </c>
      <c r="C94" s="405" t="s">
        <v>16</v>
      </c>
      <c r="D94" s="508" t="s">
        <v>17</v>
      </c>
      <c r="E94" s="496"/>
      <c r="F94" s="437">
        <v>4800</v>
      </c>
      <c r="G94" s="496"/>
      <c r="H94" s="496"/>
      <c r="I94" s="402"/>
      <c r="J94" s="574">
        <f>$F94*J$4</f>
        <v>2160</v>
      </c>
      <c r="K94" s="574">
        <f t="shared" ref="K94:N94" si="18">$F94*K$4</f>
        <v>1287.8399999999999</v>
      </c>
      <c r="L94" s="574">
        <f t="shared" si="18"/>
        <v>1285.92</v>
      </c>
      <c r="M94" s="574">
        <f t="shared" si="18"/>
        <v>66.239999999999995</v>
      </c>
      <c r="N94" s="574">
        <f t="shared" si="18"/>
        <v>35.520000000000003</v>
      </c>
      <c r="O94" s="402"/>
      <c r="P94" s="405">
        <f>SUM(E94:H97)</f>
        <v>9360</v>
      </c>
      <c r="Q94" s="452">
        <f>P94*$R$7/$D$5</f>
        <v>21.767441860465116</v>
      </c>
      <c r="R94" s="411">
        <f>Q94/$R$7</f>
        <v>0.90697674418604646</v>
      </c>
      <c r="S94" s="452">
        <f>+$D$5-P94</f>
        <v>960</v>
      </c>
      <c r="T94" s="463">
        <f>+S94/$D$5</f>
        <v>9.3023255813953487E-2</v>
      </c>
      <c r="U94" s="324"/>
      <c r="V94" s="220"/>
      <c r="W94" s="185"/>
      <c r="X94" s="185"/>
      <c r="Y94" s="185"/>
      <c r="Z94" s="185"/>
      <c r="AA94" s="185"/>
      <c r="AB94" s="185"/>
      <c r="AC94" s="360"/>
      <c r="AD94" s="165"/>
      <c r="AE94" s="177"/>
    </row>
    <row r="95" spans="1:31" ht="23.25" customHeight="1" thickTop="1">
      <c r="A95" s="399"/>
      <c r="B95" s="506"/>
      <c r="C95" s="426"/>
      <c r="D95" s="509"/>
      <c r="E95" s="497"/>
      <c r="F95" s="438"/>
      <c r="G95" s="497"/>
      <c r="H95" s="497"/>
      <c r="I95" s="403"/>
      <c r="J95" s="434"/>
      <c r="K95" s="434"/>
      <c r="L95" s="434"/>
      <c r="M95" s="434"/>
      <c r="N95" s="434"/>
      <c r="O95" s="403"/>
      <c r="P95" s="406"/>
      <c r="Q95" s="554"/>
      <c r="R95" s="412"/>
      <c r="S95" s="554"/>
      <c r="T95" s="555"/>
      <c r="U95" s="460">
        <f>Q94+Y95+Y97</f>
        <v>21.767441860465116</v>
      </c>
      <c r="V95" s="199"/>
      <c r="W95" s="184"/>
      <c r="X95" s="184"/>
      <c r="Y95" s="184"/>
      <c r="Z95" s="184"/>
      <c r="AA95" s="184"/>
      <c r="AB95" s="184"/>
      <c r="AC95" s="333"/>
      <c r="AD95" s="166"/>
      <c r="AE95" s="177"/>
    </row>
    <row r="96" spans="1:31" ht="23.25" customHeight="1">
      <c r="A96" s="399"/>
      <c r="B96" s="506"/>
      <c r="C96" s="420" t="s">
        <v>19</v>
      </c>
      <c r="D96" s="421" t="s">
        <v>22</v>
      </c>
      <c r="E96" s="39"/>
      <c r="F96" s="318">
        <v>1200</v>
      </c>
      <c r="G96" s="39"/>
      <c r="H96" s="39"/>
      <c r="I96" s="21"/>
      <c r="J96" s="319">
        <f>$F96*J$4</f>
        <v>540</v>
      </c>
      <c r="K96" s="319">
        <f t="shared" ref="K96:N96" si="19">$F96*K$4</f>
        <v>321.95999999999998</v>
      </c>
      <c r="L96" s="319">
        <f t="shared" si="19"/>
        <v>321.48</v>
      </c>
      <c r="M96" s="319">
        <f t="shared" si="19"/>
        <v>16.559999999999999</v>
      </c>
      <c r="N96" s="319">
        <f t="shared" si="19"/>
        <v>8.8800000000000008</v>
      </c>
      <c r="O96" s="403"/>
      <c r="P96" s="406"/>
      <c r="Q96" s="554"/>
      <c r="R96" s="412"/>
      <c r="S96" s="554"/>
      <c r="T96" s="555"/>
      <c r="U96" s="461"/>
      <c r="V96" s="199"/>
      <c r="W96" s="184"/>
      <c r="X96" s="184"/>
      <c r="Y96" s="184"/>
      <c r="Z96" s="184"/>
      <c r="AA96" s="184"/>
      <c r="AB96" s="313">
        <v>2.25</v>
      </c>
      <c r="AC96" s="368"/>
      <c r="AD96" s="312" t="s">
        <v>83</v>
      </c>
      <c r="AE96" s="177"/>
    </row>
    <row r="97" spans="1:31" ht="23.25" customHeight="1" thickBot="1">
      <c r="A97" s="399"/>
      <c r="B97" s="506"/>
      <c r="C97" s="506"/>
      <c r="D97" s="422"/>
      <c r="E97" s="244">
        <f>28*120</f>
        <v>3360</v>
      </c>
      <c r="F97" s="22"/>
      <c r="G97" s="329"/>
      <c r="H97" s="22"/>
      <c r="I97" s="21"/>
      <c r="J97" s="331">
        <f>$E97*J3</f>
        <v>1545.6000000000001</v>
      </c>
      <c r="K97" s="331">
        <f t="shared" ref="K97:M97" si="20">$E97*K3</f>
        <v>1028.8320000000001</v>
      </c>
      <c r="L97" s="331">
        <f t="shared" si="20"/>
        <v>739.2</v>
      </c>
      <c r="M97" s="331">
        <f t="shared" si="20"/>
        <v>46.368000000000002</v>
      </c>
      <c r="N97" s="136"/>
      <c r="O97" s="404"/>
      <c r="P97" s="406"/>
      <c r="Q97" s="453"/>
      <c r="R97" s="413"/>
      <c r="S97" s="453"/>
      <c r="T97" s="464"/>
      <c r="U97" s="461"/>
      <c r="V97" s="201"/>
      <c r="W97" s="197"/>
      <c r="X97" s="197"/>
      <c r="Y97" s="186"/>
      <c r="Z97" s="186"/>
      <c r="AA97" s="186"/>
      <c r="AB97" s="186"/>
      <c r="AC97" s="356"/>
      <c r="AD97" s="167"/>
      <c r="AE97" s="177">
        <f>SUM(V94:AC97)+Q94</f>
        <v>24.017441860465116</v>
      </c>
    </row>
    <row r="98" spans="1:31" ht="19.5" customHeight="1" thickTop="1" thickBot="1">
      <c r="A98" s="399" t="s">
        <v>25</v>
      </c>
      <c r="B98" s="423">
        <v>42909</v>
      </c>
      <c r="C98" s="405" t="s">
        <v>16</v>
      </c>
      <c r="D98" s="508" t="s">
        <v>17</v>
      </c>
      <c r="E98" s="571">
        <f>34*120</f>
        <v>4080</v>
      </c>
      <c r="F98" s="496"/>
      <c r="G98" s="496"/>
      <c r="H98" s="496"/>
      <c r="I98" s="21"/>
      <c r="J98" s="573">
        <f>$E98*J$3</f>
        <v>1876.8000000000002</v>
      </c>
      <c r="K98" s="573">
        <f t="shared" ref="K98:M98" si="21">$E98*K$3</f>
        <v>1249.296</v>
      </c>
      <c r="L98" s="573">
        <f t="shared" si="21"/>
        <v>897.6</v>
      </c>
      <c r="M98" s="573">
        <f t="shared" si="21"/>
        <v>56.304000000000002</v>
      </c>
      <c r="N98" s="400"/>
      <c r="O98" s="21"/>
      <c r="P98" s="405">
        <f>SUM(E98:H101)</f>
        <v>9360</v>
      </c>
      <c r="Q98" s="452">
        <f>P98*$R$7/$D$5</f>
        <v>21.767441860465116</v>
      </c>
      <c r="R98" s="411">
        <f>Q98/$R$7</f>
        <v>0.90697674418604646</v>
      </c>
      <c r="S98" s="452">
        <f>+$D$5-P98</f>
        <v>960</v>
      </c>
      <c r="T98" s="463">
        <f>+S98/$D$5</f>
        <v>9.3023255813953487E-2</v>
      </c>
      <c r="U98" s="321"/>
      <c r="V98" s="220"/>
      <c r="W98" s="185"/>
      <c r="X98" s="185"/>
      <c r="Y98" s="185"/>
      <c r="Z98" s="185"/>
      <c r="AA98" s="185"/>
      <c r="AB98" s="185"/>
      <c r="AC98" s="360"/>
      <c r="AD98" s="165"/>
      <c r="AE98" s="177"/>
    </row>
    <row r="99" spans="1:31" ht="19.5" customHeight="1" thickTop="1">
      <c r="A99" s="399"/>
      <c r="B99" s="424"/>
      <c r="C99" s="426"/>
      <c r="D99" s="509"/>
      <c r="E99" s="572"/>
      <c r="F99" s="497"/>
      <c r="G99" s="497"/>
      <c r="H99" s="497"/>
      <c r="I99" s="21"/>
      <c r="J99" s="568"/>
      <c r="K99" s="568"/>
      <c r="L99" s="568"/>
      <c r="M99" s="568"/>
      <c r="N99" s="446"/>
      <c r="O99" s="21"/>
      <c r="P99" s="406"/>
      <c r="Q99" s="554"/>
      <c r="R99" s="412"/>
      <c r="S99" s="554"/>
      <c r="T99" s="555"/>
      <c r="U99" s="442">
        <f>Y99+Y101+Q98</f>
        <v>21.767441860465116</v>
      </c>
      <c r="V99" s="199"/>
      <c r="W99" s="184"/>
      <c r="X99" s="184"/>
      <c r="Y99" s="184"/>
      <c r="Z99" s="184"/>
      <c r="AA99" s="184"/>
      <c r="AB99" s="184"/>
      <c r="AC99" s="333"/>
      <c r="AD99" s="166"/>
      <c r="AE99" s="177"/>
    </row>
    <row r="100" spans="1:31" ht="21" customHeight="1" thickBot="1">
      <c r="A100" s="399"/>
      <c r="B100" s="424"/>
      <c r="C100" s="420" t="s">
        <v>19</v>
      </c>
      <c r="D100" s="421" t="s">
        <v>22</v>
      </c>
      <c r="E100" s="565">
        <f>44*120</f>
        <v>5280</v>
      </c>
      <c r="F100" s="39"/>
      <c r="G100" s="39"/>
      <c r="H100" s="39"/>
      <c r="I100" s="21"/>
      <c r="J100" s="567">
        <f>$E100*J$6</f>
        <v>1864.8960000000002</v>
      </c>
      <c r="K100" s="567">
        <f t="shared" ref="K100:M100" si="22">$E100*K$6</f>
        <v>2239.7760000000003</v>
      </c>
      <c r="L100" s="567">
        <f t="shared" si="22"/>
        <v>1119.3599999999999</v>
      </c>
      <c r="M100" s="567">
        <f t="shared" si="22"/>
        <v>55.968000000000004</v>
      </c>
      <c r="N100" s="43"/>
      <c r="O100" s="21"/>
      <c r="P100" s="406"/>
      <c r="Q100" s="554"/>
      <c r="R100" s="412"/>
      <c r="S100" s="554"/>
      <c r="T100" s="555"/>
      <c r="U100" s="406"/>
      <c r="V100" s="199"/>
      <c r="W100" s="184"/>
      <c r="X100" s="184"/>
      <c r="Y100" s="184"/>
      <c r="Z100" s="184"/>
      <c r="AA100" s="184"/>
      <c r="AB100" s="313">
        <v>2.25</v>
      </c>
      <c r="AC100" s="368"/>
      <c r="AD100" s="312" t="s">
        <v>83</v>
      </c>
      <c r="AE100" s="177"/>
    </row>
    <row r="101" spans="1:31" ht="21" customHeight="1" thickTop="1" thickBot="1">
      <c r="A101" s="399"/>
      <c r="B101" s="425"/>
      <c r="C101" s="407"/>
      <c r="D101" s="422"/>
      <c r="E101" s="569"/>
      <c r="F101" s="22"/>
      <c r="G101" s="22"/>
      <c r="H101" s="22"/>
      <c r="I101" s="21"/>
      <c r="J101" s="570"/>
      <c r="K101" s="570"/>
      <c r="L101" s="570"/>
      <c r="M101" s="570"/>
      <c r="N101" s="136"/>
      <c r="O101" s="23"/>
      <c r="P101" s="407"/>
      <c r="Q101" s="453"/>
      <c r="R101" s="413"/>
      <c r="S101" s="453"/>
      <c r="T101" s="464"/>
      <c r="U101" s="407"/>
      <c r="V101" s="201"/>
      <c r="W101" s="197"/>
      <c r="X101" s="197"/>
      <c r="Y101" s="186"/>
      <c r="Z101" s="186"/>
      <c r="AA101" s="186"/>
      <c r="AB101" s="186"/>
      <c r="AC101" s="356"/>
      <c r="AD101" s="167"/>
      <c r="AE101" s="177">
        <f>SUM(V98:AC101)+Q98</f>
        <v>24.017441860465116</v>
      </c>
    </row>
    <row r="102" spans="1:31" ht="21" customHeight="1" thickTop="1" thickBot="1">
      <c r="A102" s="399" t="s">
        <v>26</v>
      </c>
      <c r="B102" s="423">
        <v>42910</v>
      </c>
      <c r="C102" s="405" t="s">
        <v>16</v>
      </c>
      <c r="D102" s="508" t="s">
        <v>17</v>
      </c>
      <c r="E102" s="571">
        <f>37*120</f>
        <v>4440</v>
      </c>
      <c r="F102" s="496"/>
      <c r="G102" s="496"/>
      <c r="H102" s="496"/>
      <c r="I102" s="403"/>
      <c r="J102" s="573">
        <f>$E102*J$3</f>
        <v>2042.4</v>
      </c>
      <c r="K102" s="573">
        <f t="shared" ref="K102:M102" si="23">$E102*K$3</f>
        <v>1359.528</v>
      </c>
      <c r="L102" s="573">
        <f t="shared" si="23"/>
        <v>976.8</v>
      </c>
      <c r="M102" s="573">
        <f t="shared" si="23"/>
        <v>61.271999999999998</v>
      </c>
      <c r="N102" s="564">
        <f>$F102*N$4</f>
        <v>0</v>
      </c>
      <c r="O102" s="403"/>
      <c r="P102" s="405">
        <f>SUM(E102:H105)</f>
        <v>6940</v>
      </c>
      <c r="Q102" s="452">
        <f>P102*$R$7/$D$5</f>
        <v>16.13953488372093</v>
      </c>
      <c r="R102" s="411">
        <f>Q102/$R$7</f>
        <v>0.67248062015503873</v>
      </c>
      <c r="S102" s="452">
        <f>+$D$5-P102</f>
        <v>3380</v>
      </c>
      <c r="T102" s="463">
        <f>+S102/$D$5</f>
        <v>0.32751937984496127</v>
      </c>
      <c r="U102" s="322"/>
      <c r="V102" s="266">
        <v>3</v>
      </c>
      <c r="W102" s="204"/>
      <c r="X102" s="204"/>
      <c r="Y102" s="204"/>
      <c r="Z102" s="204"/>
      <c r="AA102" s="204"/>
      <c r="AB102" s="204"/>
      <c r="AC102" s="365"/>
      <c r="AD102" s="347" t="s">
        <v>86</v>
      </c>
      <c r="AE102" s="177"/>
    </row>
    <row r="103" spans="1:31" ht="21" customHeight="1" thickTop="1">
      <c r="A103" s="399"/>
      <c r="B103" s="424"/>
      <c r="C103" s="426"/>
      <c r="D103" s="509"/>
      <c r="E103" s="572"/>
      <c r="F103" s="497"/>
      <c r="G103" s="497"/>
      <c r="H103" s="497"/>
      <c r="I103" s="403"/>
      <c r="J103" s="568"/>
      <c r="K103" s="568"/>
      <c r="L103" s="568"/>
      <c r="M103" s="568"/>
      <c r="N103" s="501"/>
      <c r="O103" s="403"/>
      <c r="P103" s="406"/>
      <c r="Q103" s="554"/>
      <c r="R103" s="412"/>
      <c r="S103" s="554"/>
      <c r="T103" s="555"/>
      <c r="U103" s="442">
        <f>Q102+Y104</f>
        <v>16.13953488372093</v>
      </c>
      <c r="V103" s="199"/>
      <c r="W103" s="184"/>
      <c r="X103" s="184"/>
      <c r="Y103" s="184"/>
      <c r="Z103" s="184"/>
      <c r="AA103" s="184"/>
      <c r="AB103" s="184"/>
      <c r="AC103" s="333"/>
      <c r="AD103" s="166"/>
      <c r="AE103" s="177"/>
    </row>
    <row r="104" spans="1:31" ht="21" customHeight="1">
      <c r="A104" s="399"/>
      <c r="B104" s="424"/>
      <c r="C104" s="420" t="s">
        <v>19</v>
      </c>
      <c r="D104" s="421" t="s">
        <v>22</v>
      </c>
      <c r="E104" s="565">
        <v>2500</v>
      </c>
      <c r="F104" s="39"/>
      <c r="G104" s="39"/>
      <c r="H104" s="39"/>
      <c r="I104" s="41"/>
      <c r="J104" s="567">
        <f>$E104*J$6</f>
        <v>883</v>
      </c>
      <c r="K104" s="567">
        <f t="shared" ref="K104:M104" si="24">$E104*K$6</f>
        <v>1060.5</v>
      </c>
      <c r="L104" s="567">
        <f t="shared" si="24"/>
        <v>530</v>
      </c>
      <c r="M104" s="567">
        <f t="shared" si="24"/>
        <v>26.5</v>
      </c>
      <c r="N104" s="559">
        <f>$F104*N$4</f>
        <v>0</v>
      </c>
      <c r="O104" s="21"/>
      <c r="P104" s="406"/>
      <c r="Q104" s="554"/>
      <c r="R104" s="412"/>
      <c r="S104" s="554"/>
      <c r="T104" s="555"/>
      <c r="U104" s="431"/>
      <c r="V104" s="199"/>
      <c r="W104" s="184"/>
      <c r="X104" s="184"/>
      <c r="Y104" s="184"/>
      <c r="Z104" s="184"/>
      <c r="AA104" s="184"/>
      <c r="AB104" s="270">
        <v>5</v>
      </c>
      <c r="AC104" s="368"/>
      <c r="AD104" s="312" t="s">
        <v>83</v>
      </c>
      <c r="AE104" s="177"/>
    </row>
    <row r="105" spans="1:31" ht="21" customHeight="1" thickBot="1">
      <c r="A105" s="399"/>
      <c r="B105" s="425"/>
      <c r="C105" s="407"/>
      <c r="D105" s="489"/>
      <c r="E105" s="566"/>
      <c r="F105" s="329"/>
      <c r="G105" s="329"/>
      <c r="H105" s="329"/>
      <c r="I105" s="21"/>
      <c r="J105" s="568"/>
      <c r="K105" s="568"/>
      <c r="L105" s="568"/>
      <c r="M105" s="568"/>
      <c r="N105" s="500"/>
      <c r="O105" s="21"/>
      <c r="P105" s="407"/>
      <c r="Q105" s="453"/>
      <c r="R105" s="413"/>
      <c r="S105" s="453"/>
      <c r="T105" s="464"/>
      <c r="U105" s="432"/>
      <c r="V105" s="201"/>
      <c r="W105" s="197"/>
      <c r="X105" s="197"/>
      <c r="Y105" s="186"/>
      <c r="Z105" s="186"/>
      <c r="AA105" s="186"/>
      <c r="AB105" s="186"/>
      <c r="AC105" s="356"/>
      <c r="AD105" s="167"/>
      <c r="AE105" s="177">
        <f>SUM(V102:AC105)+Q102</f>
        <v>24.13953488372093</v>
      </c>
    </row>
    <row r="106" spans="1:31" ht="21" customHeight="1" thickTop="1" thickBot="1">
      <c r="A106" s="399" t="s">
        <v>28</v>
      </c>
      <c r="B106" s="487">
        <v>42911</v>
      </c>
      <c r="C106" s="452" t="s">
        <v>16</v>
      </c>
      <c r="D106" s="522" t="s">
        <v>87</v>
      </c>
      <c r="E106" s="523"/>
      <c r="F106" s="523"/>
      <c r="G106" s="523"/>
      <c r="H106" s="523"/>
      <c r="I106" s="523"/>
      <c r="J106" s="523"/>
      <c r="K106" s="523"/>
      <c r="L106" s="523"/>
      <c r="M106" s="523"/>
      <c r="N106" s="524"/>
      <c r="O106" s="21"/>
      <c r="P106" s="405">
        <f>G106</f>
        <v>0</v>
      </c>
      <c r="Q106" s="452">
        <f>P106*$R$7/$D$5</f>
        <v>0</v>
      </c>
      <c r="R106" s="411">
        <f>Q106/$R$7</f>
        <v>0</v>
      </c>
      <c r="S106" s="452">
        <f>+$D$5-P106</f>
        <v>10320</v>
      </c>
      <c r="T106" s="463">
        <f>+S106/$D$5</f>
        <v>1</v>
      </c>
      <c r="U106" s="144"/>
      <c r="V106" s="220"/>
      <c r="W106" s="185"/>
      <c r="X106" s="185"/>
      <c r="Y106" s="185"/>
      <c r="Z106" s="185"/>
      <c r="AA106" s="185"/>
      <c r="AB106" s="185"/>
      <c r="AC106" s="360"/>
      <c r="AD106" s="165"/>
      <c r="AE106" s="177"/>
    </row>
    <row r="107" spans="1:31" ht="17.25" customHeight="1" thickTop="1">
      <c r="A107" s="399"/>
      <c r="B107" s="561"/>
      <c r="C107" s="562"/>
      <c r="D107" s="525"/>
      <c r="E107" s="526"/>
      <c r="F107" s="526"/>
      <c r="G107" s="526"/>
      <c r="H107" s="526"/>
      <c r="I107" s="526"/>
      <c r="J107" s="526"/>
      <c r="K107" s="526"/>
      <c r="L107" s="526"/>
      <c r="M107" s="526"/>
      <c r="N107" s="527"/>
      <c r="O107" s="25"/>
      <c r="P107" s="406"/>
      <c r="Q107" s="554"/>
      <c r="R107" s="412"/>
      <c r="S107" s="554"/>
      <c r="T107" s="555"/>
      <c r="U107" s="45"/>
      <c r="V107" s="199"/>
      <c r="W107" s="255">
        <v>12</v>
      </c>
      <c r="X107" s="255"/>
      <c r="Y107" s="255"/>
      <c r="Z107" s="255"/>
      <c r="AA107" s="255"/>
      <c r="AB107" s="255"/>
      <c r="AC107" s="370"/>
      <c r="AD107" s="257" t="s">
        <v>85</v>
      </c>
      <c r="AE107" s="177"/>
    </row>
    <row r="108" spans="1:31" ht="17.25" customHeight="1">
      <c r="A108" s="399"/>
      <c r="B108" s="561"/>
      <c r="C108" s="563" t="s">
        <v>19</v>
      </c>
      <c r="D108" s="495" t="s">
        <v>22</v>
      </c>
      <c r="E108" s="497"/>
      <c r="F108" s="497"/>
      <c r="G108" s="497"/>
      <c r="H108" s="497"/>
      <c r="I108" s="497"/>
      <c r="J108" s="497"/>
      <c r="K108" s="497"/>
      <c r="L108" s="497"/>
      <c r="M108" s="497"/>
      <c r="N108" s="499"/>
      <c r="O108" s="21"/>
      <c r="P108" s="406"/>
      <c r="Q108" s="554"/>
      <c r="R108" s="412"/>
      <c r="S108" s="554"/>
      <c r="T108" s="555"/>
      <c r="U108" s="145"/>
      <c r="V108" s="199"/>
      <c r="W108" s="184"/>
      <c r="X108" s="184"/>
      <c r="Y108" s="184"/>
      <c r="Z108" s="184"/>
      <c r="AA108" s="184"/>
      <c r="AB108" s="184"/>
      <c r="AC108" s="333"/>
      <c r="AD108" s="166"/>
      <c r="AE108" s="177"/>
    </row>
    <row r="109" spans="1:31" ht="17.25" customHeight="1" thickBot="1">
      <c r="A109" s="399"/>
      <c r="B109" s="488"/>
      <c r="C109" s="453"/>
      <c r="D109" s="528"/>
      <c r="E109" s="529"/>
      <c r="F109" s="529"/>
      <c r="G109" s="529"/>
      <c r="H109" s="529"/>
      <c r="I109" s="529"/>
      <c r="J109" s="529"/>
      <c r="K109" s="529"/>
      <c r="L109" s="529"/>
      <c r="M109" s="529"/>
      <c r="N109" s="530"/>
      <c r="O109" s="23"/>
      <c r="P109" s="407"/>
      <c r="Q109" s="453"/>
      <c r="R109" s="413"/>
      <c r="S109" s="453"/>
      <c r="T109" s="464"/>
      <c r="U109" s="47"/>
      <c r="V109" s="201"/>
      <c r="W109" s="197"/>
      <c r="X109" s="197"/>
      <c r="Y109" s="186"/>
      <c r="Z109" s="186"/>
      <c r="AA109" s="186"/>
      <c r="AB109" s="186"/>
      <c r="AC109" s="356"/>
      <c r="AD109" s="167"/>
      <c r="AE109" s="177">
        <f>SUM(V106:AC109)+Q106</f>
        <v>12</v>
      </c>
    </row>
    <row r="110" spans="1:31" ht="17.25" customHeight="1" thickTop="1">
      <c r="A110" s="556" t="s">
        <v>15</v>
      </c>
      <c r="B110" s="445">
        <v>42912</v>
      </c>
      <c r="C110" s="420" t="s">
        <v>16</v>
      </c>
      <c r="D110" s="543" t="s">
        <v>96</v>
      </c>
      <c r="E110" s="544"/>
      <c r="F110" s="544"/>
      <c r="G110" s="544"/>
      <c r="H110" s="544"/>
      <c r="I110" s="544"/>
      <c r="J110" s="544"/>
      <c r="K110" s="544"/>
      <c r="L110" s="544"/>
      <c r="M110" s="544"/>
      <c r="N110" s="545"/>
      <c r="O110" s="21"/>
      <c r="P110" s="420">
        <f>E112</f>
        <v>0</v>
      </c>
      <c r="Q110" s="452">
        <f>P110*$R$7/$D$5</f>
        <v>0</v>
      </c>
      <c r="R110" s="411">
        <f>Q110/$R$7</f>
        <v>0</v>
      </c>
      <c r="S110" s="452">
        <f>+$D$5-P110</f>
        <v>10320</v>
      </c>
      <c r="T110" s="463">
        <f>+S110/$D$5</f>
        <v>1</v>
      </c>
      <c r="U110" s="104"/>
      <c r="V110" s="357"/>
      <c r="W110" s="358"/>
      <c r="X110" s="358"/>
      <c r="Y110" s="358"/>
      <c r="Z110" s="358"/>
      <c r="AA110" s="358"/>
      <c r="AB110" s="358"/>
      <c r="AC110" s="361"/>
      <c r="AD110" s="165"/>
      <c r="AE110" s="177"/>
    </row>
    <row r="111" spans="1:31" ht="17.25" customHeight="1">
      <c r="A111" s="556"/>
      <c r="B111" s="424"/>
      <c r="C111" s="426"/>
      <c r="D111" s="546"/>
      <c r="E111" s="547"/>
      <c r="F111" s="547"/>
      <c r="G111" s="547"/>
      <c r="H111" s="547"/>
      <c r="I111" s="547"/>
      <c r="J111" s="547"/>
      <c r="K111" s="547"/>
      <c r="L111" s="547"/>
      <c r="M111" s="547"/>
      <c r="N111" s="548"/>
      <c r="O111" s="21"/>
      <c r="P111" s="406"/>
      <c r="Q111" s="554"/>
      <c r="R111" s="412"/>
      <c r="S111" s="554"/>
      <c r="T111" s="555"/>
      <c r="U111" s="430">
        <f>Q110+Y113</f>
        <v>0</v>
      </c>
      <c r="V111" s="199"/>
      <c r="W111" s="255">
        <v>24</v>
      </c>
      <c r="X111" s="255"/>
      <c r="Y111" s="255"/>
      <c r="Z111" s="255"/>
      <c r="AA111" s="255"/>
      <c r="AB111" s="255"/>
      <c r="AC111" s="256"/>
      <c r="AD111" s="267" t="s">
        <v>87</v>
      </c>
      <c r="AE111" s="177"/>
    </row>
    <row r="112" spans="1:31" ht="17.25" customHeight="1">
      <c r="A112" s="556"/>
      <c r="B112" s="424"/>
      <c r="C112" s="420" t="s">
        <v>19</v>
      </c>
      <c r="D112" s="546"/>
      <c r="E112" s="547"/>
      <c r="F112" s="547"/>
      <c r="G112" s="547"/>
      <c r="H112" s="547"/>
      <c r="I112" s="547"/>
      <c r="J112" s="547"/>
      <c r="K112" s="547"/>
      <c r="L112" s="547"/>
      <c r="M112" s="547"/>
      <c r="N112" s="548"/>
      <c r="O112" s="21"/>
      <c r="P112" s="406"/>
      <c r="Q112" s="554"/>
      <c r="R112" s="412"/>
      <c r="S112" s="554"/>
      <c r="T112" s="555"/>
      <c r="U112" s="431"/>
      <c r="V112" s="199"/>
      <c r="W112" s="184"/>
      <c r="X112" s="184"/>
      <c r="Y112" s="215"/>
      <c r="Z112" s="184"/>
      <c r="AA112" s="184"/>
      <c r="AB112" s="184"/>
      <c r="AC112" s="169"/>
      <c r="AD112" s="234"/>
      <c r="AE112" s="177"/>
    </row>
    <row r="113" spans="1:32" ht="17.25" customHeight="1" thickBot="1">
      <c r="A113" s="556"/>
      <c r="B113" s="425"/>
      <c r="C113" s="407"/>
      <c r="D113" s="549"/>
      <c r="E113" s="550"/>
      <c r="F113" s="550"/>
      <c r="G113" s="550"/>
      <c r="H113" s="550"/>
      <c r="I113" s="550"/>
      <c r="J113" s="550"/>
      <c r="K113" s="550"/>
      <c r="L113" s="550"/>
      <c r="M113" s="550"/>
      <c r="N113" s="551"/>
      <c r="O113" s="23"/>
      <c r="P113" s="407"/>
      <c r="Q113" s="453"/>
      <c r="R113" s="413"/>
      <c r="S113" s="453"/>
      <c r="T113" s="464"/>
      <c r="U113" s="432"/>
      <c r="V113" s="201"/>
      <c r="W113" s="197"/>
      <c r="X113" s="197"/>
      <c r="Y113" s="197"/>
      <c r="Z113" s="197"/>
      <c r="AA113" s="197"/>
      <c r="AB113" s="197"/>
      <c r="AC113" s="271"/>
      <c r="AD113" s="238"/>
      <c r="AE113" s="177">
        <f>SUM(V110:AC113)+Q110</f>
        <v>24</v>
      </c>
      <c r="AF113" s="63"/>
    </row>
    <row r="114" spans="1:32" ht="18.75" customHeight="1" thickTop="1">
      <c r="A114" s="556" t="s">
        <v>21</v>
      </c>
      <c r="B114" s="423">
        <v>42913</v>
      </c>
      <c r="C114" s="405" t="s">
        <v>16</v>
      </c>
      <c r="D114" s="546" t="s">
        <v>96</v>
      </c>
      <c r="E114" s="547"/>
      <c r="F114" s="547"/>
      <c r="G114" s="547"/>
      <c r="H114" s="547"/>
      <c r="I114" s="547"/>
      <c r="J114" s="547"/>
      <c r="K114" s="547"/>
      <c r="L114" s="547"/>
      <c r="M114" s="547"/>
      <c r="N114" s="548"/>
      <c r="O114" s="21"/>
      <c r="P114" s="405">
        <f>E114+E116</f>
        <v>0</v>
      </c>
      <c r="Q114" s="452">
        <f>P114*$R$7/$D$5</f>
        <v>0</v>
      </c>
      <c r="R114" s="411">
        <f>Q114/$R$7</f>
        <v>0</v>
      </c>
      <c r="S114" s="452">
        <f>+$D$5-P114</f>
        <v>10320</v>
      </c>
      <c r="T114" s="463">
        <f>+S114/$D$5</f>
        <v>1</v>
      </c>
      <c r="U114" s="320"/>
      <c r="V114" s="199"/>
      <c r="W114" s="184"/>
      <c r="X114" s="184"/>
      <c r="Y114" s="184"/>
      <c r="Z114" s="184"/>
      <c r="AA114" s="184"/>
      <c r="AB114" s="184"/>
      <c r="AC114" s="169"/>
      <c r="AD114" s="165"/>
      <c r="AE114" s="177"/>
      <c r="AF114" s="63"/>
    </row>
    <row r="115" spans="1:32" ht="18.75" customHeight="1">
      <c r="A115" s="556"/>
      <c r="B115" s="424"/>
      <c r="C115" s="426"/>
      <c r="D115" s="546"/>
      <c r="E115" s="547"/>
      <c r="F115" s="547"/>
      <c r="G115" s="547"/>
      <c r="H115" s="547"/>
      <c r="I115" s="547"/>
      <c r="J115" s="547"/>
      <c r="K115" s="547"/>
      <c r="L115" s="547"/>
      <c r="M115" s="547"/>
      <c r="N115" s="548"/>
      <c r="O115" s="21"/>
      <c r="P115" s="406"/>
      <c r="Q115" s="554"/>
      <c r="R115" s="412"/>
      <c r="S115" s="554"/>
      <c r="T115" s="555"/>
      <c r="U115" s="430">
        <f>Q114+Y115+Y117</f>
        <v>0</v>
      </c>
      <c r="V115" s="199"/>
      <c r="W115" s="255">
        <v>24</v>
      </c>
      <c r="X115" s="255"/>
      <c r="Y115" s="255"/>
      <c r="Z115" s="255"/>
      <c r="AA115" s="255"/>
      <c r="AB115" s="255"/>
      <c r="AC115" s="256"/>
      <c r="AD115" s="267" t="s">
        <v>87</v>
      </c>
      <c r="AE115" s="177"/>
      <c r="AF115" s="63"/>
    </row>
    <row r="116" spans="1:32" ht="18.75" customHeight="1">
      <c r="A116" s="556"/>
      <c r="B116" s="424"/>
      <c r="C116" s="420" t="s">
        <v>19</v>
      </c>
      <c r="D116" s="546"/>
      <c r="E116" s="547"/>
      <c r="F116" s="547"/>
      <c r="G116" s="547"/>
      <c r="H116" s="547"/>
      <c r="I116" s="547"/>
      <c r="J116" s="547"/>
      <c r="K116" s="547"/>
      <c r="L116" s="547"/>
      <c r="M116" s="547"/>
      <c r="N116" s="548"/>
      <c r="O116" s="21"/>
      <c r="P116" s="406"/>
      <c r="Q116" s="554"/>
      <c r="R116" s="412"/>
      <c r="S116" s="554"/>
      <c r="T116" s="555"/>
      <c r="U116" s="431"/>
      <c r="V116" s="199"/>
      <c r="W116" s="184"/>
      <c r="X116" s="184"/>
      <c r="Y116" s="215"/>
      <c r="Z116" s="184"/>
      <c r="AA116" s="184"/>
      <c r="AB116" s="184"/>
      <c r="AC116" s="169"/>
      <c r="AD116" s="166"/>
      <c r="AE116" s="177"/>
      <c r="AF116" s="63"/>
    </row>
    <row r="117" spans="1:32" ht="18.75" customHeight="1" thickBot="1">
      <c r="A117" s="556"/>
      <c r="B117" s="425"/>
      <c r="C117" s="407"/>
      <c r="D117" s="546"/>
      <c r="E117" s="547"/>
      <c r="F117" s="547"/>
      <c r="G117" s="547"/>
      <c r="H117" s="547"/>
      <c r="I117" s="547"/>
      <c r="J117" s="547"/>
      <c r="K117" s="547"/>
      <c r="L117" s="547"/>
      <c r="M117" s="547"/>
      <c r="N117" s="548"/>
      <c r="O117" s="23"/>
      <c r="P117" s="407"/>
      <c r="Q117" s="453"/>
      <c r="R117" s="413"/>
      <c r="S117" s="453"/>
      <c r="T117" s="464"/>
      <c r="U117" s="432"/>
      <c r="V117" s="201"/>
      <c r="W117" s="197"/>
      <c r="X117" s="197"/>
      <c r="Y117" s="197"/>
      <c r="Z117" s="197"/>
      <c r="AA117" s="197"/>
      <c r="AB117" s="197"/>
      <c r="AC117" s="271"/>
      <c r="AD117" s="233"/>
      <c r="AE117" s="177">
        <f>SUM(V114:AC117)+Q114</f>
        <v>24</v>
      </c>
      <c r="AF117" s="63"/>
    </row>
    <row r="118" spans="1:32" ht="16.5" customHeight="1" thickTop="1" thickBot="1">
      <c r="A118" s="556" t="s">
        <v>23</v>
      </c>
      <c r="B118" s="423">
        <v>42914</v>
      </c>
      <c r="C118" s="405" t="s">
        <v>16</v>
      </c>
      <c r="D118" s="522" t="s">
        <v>87</v>
      </c>
      <c r="E118" s="523"/>
      <c r="F118" s="523"/>
      <c r="G118" s="523"/>
      <c r="H118" s="523"/>
      <c r="I118" s="523"/>
      <c r="J118" s="523"/>
      <c r="K118" s="523"/>
      <c r="L118" s="523"/>
      <c r="M118" s="523"/>
      <c r="N118" s="524"/>
      <c r="O118" s="402"/>
      <c r="P118" s="405">
        <f>E118+G120+H121</f>
        <v>1320</v>
      </c>
      <c r="Q118" s="452">
        <f>P118*$R$7/$D$5</f>
        <v>3.0697674418604652</v>
      </c>
      <c r="R118" s="411">
        <f>Q118/$R$7</f>
        <v>0.12790697674418605</v>
      </c>
      <c r="S118" s="452">
        <f>+$D$5-P118</f>
        <v>9000</v>
      </c>
      <c r="T118" s="463">
        <f>+S118/$D$5</f>
        <v>0.87209302325581395</v>
      </c>
      <c r="U118" s="320"/>
      <c r="V118" s="266">
        <v>2</v>
      </c>
      <c r="W118" s="204"/>
      <c r="X118" s="204"/>
      <c r="Y118" s="204"/>
      <c r="Z118" s="204"/>
      <c r="AA118" s="204"/>
      <c r="AB118" s="204"/>
      <c r="AC118" s="205"/>
      <c r="AD118" s="102" t="s">
        <v>71</v>
      </c>
      <c r="AE118" s="177"/>
      <c r="AF118" s="63"/>
    </row>
    <row r="119" spans="1:32" ht="16.5" customHeight="1" thickTop="1">
      <c r="A119" s="556"/>
      <c r="B119" s="424"/>
      <c r="C119" s="426"/>
      <c r="D119" s="525"/>
      <c r="E119" s="526"/>
      <c r="F119" s="526"/>
      <c r="G119" s="526"/>
      <c r="H119" s="526"/>
      <c r="I119" s="526"/>
      <c r="J119" s="526"/>
      <c r="K119" s="526"/>
      <c r="L119" s="526"/>
      <c r="M119" s="526"/>
      <c r="N119" s="527"/>
      <c r="O119" s="403"/>
      <c r="P119" s="406"/>
      <c r="Q119" s="554"/>
      <c r="R119" s="412"/>
      <c r="S119" s="554"/>
      <c r="T119" s="555"/>
      <c r="U119" s="417"/>
      <c r="V119" s="199"/>
      <c r="W119" s="255">
        <v>12</v>
      </c>
      <c r="X119" s="255"/>
      <c r="Y119" s="255"/>
      <c r="Z119" s="255"/>
      <c r="AA119" s="255"/>
      <c r="AB119" s="255"/>
      <c r="AC119" s="256"/>
      <c r="AD119" s="267" t="s">
        <v>87</v>
      </c>
      <c r="AE119" s="177"/>
      <c r="AF119" s="63"/>
    </row>
    <row r="120" spans="1:32" ht="21.75" customHeight="1">
      <c r="A120" s="556"/>
      <c r="B120" s="424"/>
      <c r="C120" s="420" t="s">
        <v>19</v>
      </c>
      <c r="D120" s="421" t="s">
        <v>17</v>
      </c>
      <c r="E120" s="329"/>
      <c r="F120" s="329"/>
      <c r="G120" s="531">
        <f>11*120</f>
        <v>1320</v>
      </c>
      <c r="H120" s="329"/>
      <c r="I120" s="303"/>
      <c r="J120" s="533">
        <f>$G120*J$5</f>
        <v>594</v>
      </c>
      <c r="K120" s="533">
        <f>$G120*K$5</f>
        <v>354.15599999999995</v>
      </c>
      <c r="L120" s="533">
        <f>$G120*L$5</f>
        <v>353.62800000000004</v>
      </c>
      <c r="M120" s="533">
        <f>$G120*M$5</f>
        <v>18.216000000000001</v>
      </c>
      <c r="N120" s="559"/>
      <c r="O120" s="403"/>
      <c r="P120" s="406"/>
      <c r="Q120" s="554"/>
      <c r="R120" s="412"/>
      <c r="S120" s="554"/>
      <c r="T120" s="555"/>
      <c r="U120" s="418"/>
      <c r="V120" s="199"/>
      <c r="W120" s="184"/>
      <c r="X120" s="184"/>
      <c r="Y120" s="184"/>
      <c r="Z120" s="184"/>
      <c r="AA120" s="184"/>
      <c r="AB120" s="270">
        <v>7</v>
      </c>
      <c r="AC120" s="251"/>
      <c r="AD120" s="258" t="s">
        <v>83</v>
      </c>
      <c r="AE120" s="177"/>
      <c r="AF120" s="63"/>
    </row>
    <row r="121" spans="1:32" ht="21.75" customHeight="1" thickBot="1">
      <c r="A121" s="556"/>
      <c r="B121" s="425"/>
      <c r="C121" s="407"/>
      <c r="D121" s="422"/>
      <c r="E121" s="22"/>
      <c r="F121" s="22"/>
      <c r="G121" s="532"/>
      <c r="H121" s="22"/>
      <c r="I121" s="304"/>
      <c r="J121" s="534"/>
      <c r="K121" s="534">
        <f>$H121*K$6</f>
        <v>0</v>
      </c>
      <c r="L121" s="534">
        <f>$H121*L$6</f>
        <v>0</v>
      </c>
      <c r="M121" s="534">
        <f>$H121*M$6</f>
        <v>0</v>
      </c>
      <c r="N121" s="560"/>
      <c r="O121" s="404"/>
      <c r="P121" s="407"/>
      <c r="Q121" s="453"/>
      <c r="R121" s="413"/>
      <c r="S121" s="453"/>
      <c r="T121" s="464"/>
      <c r="U121" s="419"/>
      <c r="V121" s="201"/>
      <c r="W121" s="197"/>
      <c r="X121" s="197"/>
      <c r="Y121" s="186"/>
      <c r="Z121" s="186"/>
      <c r="AA121" s="186"/>
      <c r="AB121" s="197"/>
      <c r="AC121" s="202"/>
      <c r="AD121" s="167"/>
      <c r="AE121" s="177">
        <f>SUM(V118:AC121)+Q118</f>
        <v>24.069767441860463</v>
      </c>
      <c r="AF121" s="63"/>
    </row>
    <row r="122" spans="1:32" ht="19.5" customHeight="1" thickTop="1" thickBot="1">
      <c r="A122" s="556" t="s">
        <v>24</v>
      </c>
      <c r="B122" s="423">
        <v>42915</v>
      </c>
      <c r="C122" s="405" t="s">
        <v>16</v>
      </c>
      <c r="D122" s="435" t="s">
        <v>22</v>
      </c>
      <c r="E122" s="496"/>
      <c r="F122" s="496"/>
      <c r="G122" s="557">
        <v>0</v>
      </c>
      <c r="H122" s="397"/>
      <c r="I122" s="402"/>
      <c r="J122" s="552">
        <f>$G122*J105</f>
        <v>0</v>
      </c>
      <c r="K122" s="552">
        <f t="shared" ref="K122:M122" si="25">$G122*K105</f>
        <v>0</v>
      </c>
      <c r="L122" s="552">
        <f t="shared" si="25"/>
        <v>0</v>
      </c>
      <c r="M122" s="552">
        <f t="shared" si="25"/>
        <v>0</v>
      </c>
      <c r="N122" s="400"/>
      <c r="O122" s="402"/>
      <c r="P122" s="405">
        <f>SUM(E122:H125)</f>
        <v>2040</v>
      </c>
      <c r="Q122" s="452">
        <f>P122*$R$7/$D$5</f>
        <v>4.7441860465116283</v>
      </c>
      <c r="R122" s="411">
        <f>Q122/$R$7</f>
        <v>0.19767441860465118</v>
      </c>
      <c r="S122" s="452">
        <f>+$D$5-P122</f>
        <v>8280</v>
      </c>
      <c r="T122" s="463">
        <f>+S122/$D$5</f>
        <v>0.80232558139534882</v>
      </c>
      <c r="U122" s="324"/>
      <c r="V122" s="266">
        <v>4</v>
      </c>
      <c r="W122" s="204"/>
      <c r="X122" s="204"/>
      <c r="Y122" s="204"/>
      <c r="Z122" s="204"/>
      <c r="AA122" s="204"/>
      <c r="AB122" s="204"/>
      <c r="AC122" s="205"/>
      <c r="AD122" s="347" t="s">
        <v>91</v>
      </c>
      <c r="AE122" s="177"/>
      <c r="AF122" s="63"/>
    </row>
    <row r="123" spans="1:32" ht="19.5" customHeight="1" thickTop="1">
      <c r="A123" s="556"/>
      <c r="B123" s="506"/>
      <c r="C123" s="426"/>
      <c r="D123" s="436"/>
      <c r="E123" s="497"/>
      <c r="F123" s="497"/>
      <c r="G123" s="558"/>
      <c r="H123" s="398"/>
      <c r="I123" s="403"/>
      <c r="J123" s="553"/>
      <c r="K123" s="553"/>
      <c r="L123" s="553"/>
      <c r="M123" s="553"/>
      <c r="N123" s="446"/>
      <c r="O123" s="403"/>
      <c r="P123" s="406"/>
      <c r="Q123" s="554"/>
      <c r="R123" s="412"/>
      <c r="S123" s="554"/>
      <c r="T123" s="555"/>
      <c r="U123" s="460">
        <f>Q122+Y123+Y125</f>
        <v>4.7441860465116283</v>
      </c>
      <c r="V123" s="199"/>
      <c r="W123" s="184"/>
      <c r="X123" s="184"/>
      <c r="Y123" s="184"/>
      <c r="Z123" s="184"/>
      <c r="AA123" s="184"/>
      <c r="AB123" s="184"/>
      <c r="AC123" s="169"/>
      <c r="AD123" s="166"/>
      <c r="AE123" s="177"/>
      <c r="AF123" s="63"/>
    </row>
    <row r="124" spans="1:32" ht="22.5" customHeight="1">
      <c r="A124" s="556"/>
      <c r="B124" s="506"/>
      <c r="C124" s="420" t="s">
        <v>19</v>
      </c>
      <c r="D124" s="421" t="s">
        <v>17</v>
      </c>
      <c r="E124" s="39"/>
      <c r="F124" s="39"/>
      <c r="G124" s="531">
        <f>17*120</f>
        <v>2040</v>
      </c>
      <c r="H124" s="27"/>
      <c r="I124" s="403"/>
      <c r="J124" s="533">
        <f>$G124*J$5</f>
        <v>918</v>
      </c>
      <c r="K124" s="533">
        <f>$G124*K$5</f>
        <v>547.33199999999999</v>
      </c>
      <c r="L124" s="533">
        <f>$G124*L$5</f>
        <v>546.51600000000008</v>
      </c>
      <c r="M124" s="533">
        <f>$G124*M$5</f>
        <v>28.152000000000001</v>
      </c>
      <c r="N124" s="559"/>
      <c r="O124" s="403"/>
      <c r="P124" s="406"/>
      <c r="Q124" s="554"/>
      <c r="R124" s="412"/>
      <c r="S124" s="554"/>
      <c r="T124" s="555"/>
      <c r="U124" s="461"/>
      <c r="V124" s="199"/>
      <c r="W124" s="184"/>
      <c r="X124" s="184"/>
      <c r="Y124" s="184"/>
      <c r="Z124" s="184"/>
      <c r="AA124" s="184"/>
      <c r="AB124" s="270">
        <v>3.25</v>
      </c>
      <c r="AC124" s="251"/>
      <c r="AD124" s="258" t="s">
        <v>83</v>
      </c>
      <c r="AE124" s="177"/>
      <c r="AF124" s="63"/>
    </row>
    <row r="125" spans="1:32" ht="22.5" customHeight="1" thickBot="1">
      <c r="A125" s="556"/>
      <c r="B125" s="506"/>
      <c r="C125" s="506"/>
      <c r="D125" s="422"/>
      <c r="E125" s="22"/>
      <c r="F125" s="22"/>
      <c r="G125" s="532"/>
      <c r="H125" s="22"/>
      <c r="I125" s="404"/>
      <c r="J125" s="534"/>
      <c r="K125" s="534">
        <f>$H125*K$6</f>
        <v>0</v>
      </c>
      <c r="L125" s="534">
        <f>$H125*L$6</f>
        <v>0</v>
      </c>
      <c r="M125" s="534">
        <f>$H125*M$6</f>
        <v>0</v>
      </c>
      <c r="N125" s="560"/>
      <c r="O125" s="404"/>
      <c r="P125" s="406"/>
      <c r="Q125" s="453"/>
      <c r="R125" s="413"/>
      <c r="S125" s="453"/>
      <c r="T125" s="464"/>
      <c r="U125" s="461"/>
      <c r="V125" s="201"/>
      <c r="W125" s="197"/>
      <c r="X125" s="197"/>
      <c r="Y125" s="186"/>
      <c r="Z125" s="186"/>
      <c r="AA125" s="186"/>
      <c r="AB125" s="197"/>
      <c r="AC125" s="273">
        <v>12</v>
      </c>
      <c r="AD125" s="274" t="s">
        <v>92</v>
      </c>
      <c r="AE125" s="177">
        <f>SUM(V122:AC125)+Q122</f>
        <v>23.994186046511629</v>
      </c>
      <c r="AF125" s="63"/>
    </row>
    <row r="126" spans="1:32" ht="19.5" customHeight="1" thickTop="1" thickBot="1">
      <c r="A126" s="556" t="s">
        <v>25</v>
      </c>
      <c r="B126" s="423">
        <v>42916</v>
      </c>
      <c r="C126" s="405" t="s">
        <v>16</v>
      </c>
      <c r="D126" s="435" t="s">
        <v>22</v>
      </c>
      <c r="E126" s="496"/>
      <c r="F126" s="496"/>
      <c r="G126" s="557">
        <f>44*120</f>
        <v>5280</v>
      </c>
      <c r="H126" s="496"/>
      <c r="I126" s="21"/>
      <c r="J126" s="552">
        <f>$G126*J5</f>
        <v>2376</v>
      </c>
      <c r="K126" s="552">
        <f t="shared" ref="K126:M126" si="26">$G126*K5</f>
        <v>1416.6239999999998</v>
      </c>
      <c r="L126" s="552">
        <f t="shared" si="26"/>
        <v>1414.5120000000002</v>
      </c>
      <c r="M126" s="552">
        <f t="shared" si="26"/>
        <v>72.864000000000004</v>
      </c>
      <c r="N126" s="400"/>
      <c r="O126" s="21"/>
      <c r="P126" s="405">
        <f>SUM(E126:H129)</f>
        <v>10920</v>
      </c>
      <c r="Q126" s="452">
        <f>P126*$R$7/$D$5</f>
        <v>25.395348837209301</v>
      </c>
      <c r="R126" s="411">
        <f>Q126/$R$7</f>
        <v>1.0581395348837208</v>
      </c>
      <c r="S126" s="452">
        <f>+$D$5-P126</f>
        <v>-600</v>
      </c>
      <c r="T126" s="463">
        <f>+S126/$D$5</f>
        <v>-5.8139534883720929E-2</v>
      </c>
      <c r="U126" s="321"/>
      <c r="V126" s="220"/>
      <c r="W126" s="185"/>
      <c r="X126" s="185"/>
      <c r="Y126" s="185"/>
      <c r="Z126" s="185"/>
      <c r="AA126" s="185"/>
      <c r="AB126" s="185"/>
      <c r="AC126" s="171"/>
      <c r="AD126" s="165"/>
      <c r="AE126" s="177"/>
      <c r="AF126" s="63"/>
    </row>
    <row r="127" spans="1:32" ht="19.5" customHeight="1" thickTop="1">
      <c r="A127" s="556"/>
      <c r="B127" s="424"/>
      <c r="C127" s="426"/>
      <c r="D127" s="436"/>
      <c r="E127" s="497"/>
      <c r="F127" s="497"/>
      <c r="G127" s="558"/>
      <c r="H127" s="497"/>
      <c r="I127" s="21"/>
      <c r="J127" s="553"/>
      <c r="K127" s="553"/>
      <c r="L127" s="553"/>
      <c r="M127" s="553"/>
      <c r="N127" s="446"/>
      <c r="O127" s="21"/>
      <c r="P127" s="406"/>
      <c r="Q127" s="554"/>
      <c r="R127" s="412"/>
      <c r="S127" s="554"/>
      <c r="T127" s="555"/>
      <c r="U127" s="442">
        <f>Y127+Y129+Q126</f>
        <v>25.395348837209301</v>
      </c>
      <c r="V127" s="199"/>
      <c r="W127" s="184"/>
      <c r="X127" s="184"/>
      <c r="Y127" s="184"/>
      <c r="Z127" s="184"/>
      <c r="AA127" s="184"/>
      <c r="AB127" s="184"/>
      <c r="AC127" s="169"/>
      <c r="AD127" s="166"/>
      <c r="AE127" s="177"/>
      <c r="AF127" s="63"/>
    </row>
    <row r="128" spans="1:32" ht="21.75" customHeight="1" thickBot="1">
      <c r="A128" s="556"/>
      <c r="B128" s="424"/>
      <c r="C128" s="420" t="s">
        <v>19</v>
      </c>
      <c r="D128" s="421" t="s">
        <v>17</v>
      </c>
      <c r="E128" s="334"/>
      <c r="F128" s="39"/>
      <c r="G128" s="531">
        <f>47*120</f>
        <v>5640</v>
      </c>
      <c r="H128" s="39"/>
      <c r="I128" s="21"/>
      <c r="J128" s="533">
        <f>$G128*J5</f>
        <v>2538</v>
      </c>
      <c r="K128" s="533">
        <f t="shared" ref="K128:M128" si="27">$G128*K5</f>
        <v>1513.212</v>
      </c>
      <c r="L128" s="533">
        <f t="shared" si="27"/>
        <v>1510.9560000000001</v>
      </c>
      <c r="M128" s="533">
        <f t="shared" si="27"/>
        <v>77.831999999999994</v>
      </c>
      <c r="N128" s="43"/>
      <c r="O128" s="21"/>
      <c r="P128" s="406"/>
      <c r="Q128" s="554"/>
      <c r="R128" s="412"/>
      <c r="S128" s="554"/>
      <c r="T128" s="555"/>
      <c r="U128" s="406"/>
      <c r="V128" s="199"/>
      <c r="W128" s="184"/>
      <c r="X128" s="184"/>
      <c r="Y128" s="184"/>
      <c r="Z128" s="184"/>
      <c r="AA128" s="184"/>
      <c r="AB128" s="184"/>
      <c r="AC128" s="169"/>
      <c r="AD128" s="234"/>
      <c r="AE128" s="177"/>
      <c r="AF128" s="63"/>
    </row>
    <row r="129" spans="1:32" ht="21.75" customHeight="1" thickTop="1" thickBot="1">
      <c r="A129" s="556"/>
      <c r="B129" s="425"/>
      <c r="C129" s="407"/>
      <c r="D129" s="422"/>
      <c r="E129" s="245"/>
      <c r="F129" s="22"/>
      <c r="G129" s="532"/>
      <c r="H129" s="22"/>
      <c r="I129" s="23"/>
      <c r="J129" s="534">
        <f>$F129*J104</f>
        <v>0</v>
      </c>
      <c r="K129" s="534">
        <f t="shared" ref="K129:M129" si="28">$F129*K104</f>
        <v>0</v>
      </c>
      <c r="L129" s="534">
        <f t="shared" si="28"/>
        <v>0</v>
      </c>
      <c r="M129" s="534">
        <f t="shared" si="28"/>
        <v>0</v>
      </c>
      <c r="N129" s="332">
        <f>$F129*N104</f>
        <v>0</v>
      </c>
      <c r="O129" s="23"/>
      <c r="P129" s="407"/>
      <c r="Q129" s="453"/>
      <c r="R129" s="413"/>
      <c r="S129" s="453"/>
      <c r="T129" s="464"/>
      <c r="U129" s="407"/>
      <c r="V129" s="201"/>
      <c r="W129" s="197"/>
      <c r="X129" s="197"/>
      <c r="Y129" s="186"/>
      <c r="Z129" s="186"/>
      <c r="AA129" s="186"/>
      <c r="AB129" s="197"/>
      <c r="AC129" s="202"/>
      <c r="AD129" s="203"/>
      <c r="AE129" s="177">
        <f>SUM(V126:AC129)+Q126</f>
        <v>25.395348837209301</v>
      </c>
      <c r="AF129" s="63"/>
    </row>
    <row r="130" spans="1:32" ht="15.75" customHeight="1" thickTop="1">
      <c r="B130" s="482" t="s">
        <v>36</v>
      </c>
      <c r="C130" s="482"/>
      <c r="D130" s="482"/>
      <c r="J130" s="601">
        <f>SUM(J10:J129)</f>
        <v>77317.287999999986</v>
      </c>
      <c r="K130" s="480">
        <f>SUM(K10:K129)</f>
        <v>50678.999999999985</v>
      </c>
      <c r="L130" s="480">
        <f>SUM(L10:L129)</f>
        <v>44943.26</v>
      </c>
      <c r="M130" s="480">
        <f>SUM(M10:M129)</f>
        <v>2360.4519999999998</v>
      </c>
      <c r="N130" s="480">
        <f>SUM(N10:N129)</f>
        <v>406.70400000000001</v>
      </c>
      <c r="Q130" s="75"/>
    </row>
    <row r="131" spans="1:32" ht="21" customHeight="1">
      <c r="B131" s="483"/>
      <c r="C131" s="483"/>
      <c r="D131" s="483"/>
      <c r="E131" s="52">
        <f>SUM(E10:E129)</f>
        <v>28540</v>
      </c>
      <c r="F131" s="53">
        <f>SUM(F10:F129)</f>
        <v>54960</v>
      </c>
      <c r="G131" s="54">
        <f>SUM(G10:G129)</f>
        <v>81240</v>
      </c>
      <c r="H131" s="55">
        <f>SUM(H10:H129)</f>
        <v>10560</v>
      </c>
      <c r="I131" s="48"/>
      <c r="J131" s="602"/>
      <c r="K131" s="481"/>
      <c r="L131" s="481"/>
      <c r="M131" s="481"/>
      <c r="N131" s="481"/>
      <c r="O131" s="48">
        <f>SUM(O10:O25)</f>
        <v>0</v>
      </c>
      <c r="Q131" s="72">
        <f>SUM(Q10:Q129)</f>
        <v>407.67441860465112</v>
      </c>
      <c r="R131" s="72"/>
      <c r="S131" s="72"/>
      <c r="T131" s="73" t="s">
        <v>35</v>
      </c>
      <c r="U131" s="72">
        <f>SUM(U10:U25)</f>
        <v>71.441860465116278</v>
      </c>
      <c r="V131" s="72">
        <f>SUM(V10:V129)</f>
        <v>18.25</v>
      </c>
      <c r="W131" s="72">
        <f t="shared" ref="W131:AE131" si="29">SUM(W10:W129)</f>
        <v>72</v>
      </c>
      <c r="X131" s="72">
        <f t="shared" si="29"/>
        <v>2</v>
      </c>
      <c r="Y131" s="72">
        <f t="shared" si="29"/>
        <v>79.25</v>
      </c>
      <c r="Z131" s="72">
        <f t="shared" si="29"/>
        <v>0</v>
      </c>
      <c r="AA131" s="72">
        <f t="shared" si="29"/>
        <v>4.5</v>
      </c>
      <c r="AB131" s="72">
        <f t="shared" si="29"/>
        <v>58.5</v>
      </c>
      <c r="AC131" s="72">
        <f t="shared" si="29"/>
        <v>12</v>
      </c>
      <c r="AD131" s="48" t="s">
        <v>29</v>
      </c>
      <c r="AE131" s="72">
        <f t="shared" si="29"/>
        <v>654.17441860465112</v>
      </c>
    </row>
    <row r="132" spans="1:32" ht="23.25">
      <c r="C132" s="49" t="s">
        <v>30</v>
      </c>
      <c r="D132" s="50"/>
      <c r="E132" s="597">
        <f>E131+F131+G131+H131</f>
        <v>175300</v>
      </c>
      <c r="F132" s="597"/>
      <c r="G132" s="597"/>
      <c r="H132" s="597"/>
      <c r="U132" s="70"/>
      <c r="V132" s="70"/>
      <c r="W132" s="70"/>
      <c r="X132" s="155"/>
      <c r="Y132" s="146"/>
      <c r="Z132" s="146"/>
      <c r="AA132" s="146"/>
    </row>
    <row r="133" spans="1:32" ht="18.75" customHeight="1">
      <c r="Q133" s="68" t="s">
        <v>34</v>
      </c>
      <c r="S133" s="456">
        <f>K137*K138*K139</f>
        <v>0.6195987654320988</v>
      </c>
      <c r="T133" s="456"/>
    </row>
    <row r="134" spans="1:32" ht="23.25">
      <c r="R134" s="68" t="s">
        <v>33</v>
      </c>
      <c r="U134" s="67">
        <f>V131/E3</f>
        <v>2.5347222222222222E-2</v>
      </c>
      <c r="V134" s="373">
        <f>V131/$E$4</f>
        <v>2.816358024691358E-2</v>
      </c>
      <c r="W134" s="374">
        <f t="shared" ref="W134:AC134" si="30">W131/$E$4</f>
        <v>0.1111111111111111</v>
      </c>
      <c r="X134" s="375">
        <f t="shared" si="30"/>
        <v>3.0864197530864196E-3</v>
      </c>
      <c r="Y134" s="376">
        <f t="shared" si="30"/>
        <v>0.12229938271604938</v>
      </c>
      <c r="Z134" s="377">
        <f t="shared" si="30"/>
        <v>0</v>
      </c>
      <c r="AA134" s="378">
        <f t="shared" si="30"/>
        <v>6.9444444444444441E-3</v>
      </c>
      <c r="AB134" s="379">
        <f t="shared" si="30"/>
        <v>9.0277777777777776E-2</v>
      </c>
      <c r="AC134" s="380">
        <f t="shared" si="30"/>
        <v>1.8518518518518517E-2</v>
      </c>
    </row>
    <row r="135" spans="1:32">
      <c r="E135" s="64"/>
      <c r="G135" s="600"/>
      <c r="H135" s="5"/>
    </row>
    <row r="136" spans="1:32">
      <c r="E136" s="64"/>
      <c r="G136" s="600"/>
      <c r="H136" s="5"/>
    </row>
    <row r="137" spans="1:32" ht="15.75">
      <c r="D137" s="64" t="s">
        <v>88</v>
      </c>
      <c r="E137">
        <f>E4</f>
        <v>648</v>
      </c>
      <c r="G137" s="162" t="s">
        <v>68</v>
      </c>
      <c r="K137" s="158">
        <f>+E138/E137</f>
        <v>0.88888888888888884</v>
      </c>
      <c r="M137"/>
      <c r="T137" s="598"/>
      <c r="U137" s="598"/>
      <c r="V137" s="598"/>
      <c r="AA137" s="164"/>
    </row>
    <row r="138" spans="1:32" ht="15.75">
      <c r="D138" s="64" t="s">
        <v>67</v>
      </c>
      <c r="E138" s="63">
        <f>E137-W131</f>
        <v>576</v>
      </c>
      <c r="G138" s="162" t="s">
        <v>69</v>
      </c>
      <c r="K138" s="158">
        <f>+E139/E138</f>
        <v>0.70052083333333337</v>
      </c>
      <c r="M138"/>
      <c r="T138" s="599"/>
      <c r="U138" s="599"/>
      <c r="V138" s="599"/>
      <c r="AB138" s="161"/>
    </row>
    <row r="139" spans="1:32" ht="15.75">
      <c r="D139" s="64" t="s">
        <v>66</v>
      </c>
      <c r="E139" s="63">
        <f>+E138-V131-Y131-Z131-AA131-AB131-AC131</f>
        <v>403.5</v>
      </c>
      <c r="G139" s="162" t="s">
        <v>89</v>
      </c>
      <c r="K139" s="158">
        <f>+E140/E139</f>
        <v>0.99504337050805447</v>
      </c>
      <c r="L139"/>
      <c r="M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32">
      <c r="D140" s="64" t="s">
        <v>70</v>
      </c>
      <c r="E140" s="63">
        <f>E139-X131</f>
        <v>401.5</v>
      </c>
      <c r="L140" s="61"/>
      <c r="M140" s="159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32" ht="15.75">
      <c r="G141" s="162"/>
      <c r="H141" s="59"/>
      <c r="J141"/>
      <c r="K141" s="58"/>
      <c r="L141"/>
      <c r="M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32">
      <c r="H142" s="59"/>
      <c r="J142"/>
      <c r="K142"/>
      <c r="L142"/>
      <c r="M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32">
      <c r="H143" s="58"/>
      <c r="J143"/>
      <c r="K143"/>
      <c r="L143"/>
      <c r="M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32">
      <c r="J144"/>
      <c r="L144" s="65"/>
      <c r="M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8:27">
      <c r="J145"/>
      <c r="M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8:27">
      <c r="J146"/>
      <c r="L146" s="65"/>
    </row>
    <row r="147" spans="8:27" ht="18">
      <c r="H147" s="51"/>
    </row>
    <row r="148" spans="8:27">
      <c r="L148" s="160"/>
    </row>
    <row r="149" spans="8:27" ht="18">
      <c r="H149" s="51"/>
    </row>
  </sheetData>
  <mergeCells count="701">
    <mergeCell ref="J8:N8"/>
    <mergeCell ref="O8:O9"/>
    <mergeCell ref="R8:R9"/>
    <mergeCell ref="S8:T8"/>
    <mergeCell ref="A14:A17"/>
    <mergeCell ref="A18:A21"/>
    <mergeCell ref="I18:I21"/>
    <mergeCell ref="G3:H3"/>
    <mergeCell ref="G4:H4"/>
    <mergeCell ref="G5:H5"/>
    <mergeCell ref="G6:H6"/>
    <mergeCell ref="B8:B9"/>
    <mergeCell ref="C8:C9"/>
    <mergeCell ref="D8:D9"/>
    <mergeCell ref="E8:H8"/>
    <mergeCell ref="A10:A13"/>
    <mergeCell ref="B10:B13"/>
    <mergeCell ref="C10:C11"/>
    <mergeCell ref="D10:D11"/>
    <mergeCell ref="G10:G11"/>
    <mergeCell ref="I10:I11"/>
    <mergeCell ref="J10:J11"/>
    <mergeCell ref="Q10:Q13"/>
    <mergeCell ref="R10:R13"/>
    <mergeCell ref="B14:B17"/>
    <mergeCell ref="C14:C15"/>
    <mergeCell ref="D14:D15"/>
    <mergeCell ref="E14:E15"/>
    <mergeCell ref="F14:F15"/>
    <mergeCell ref="G14:G15"/>
    <mergeCell ref="U11:U13"/>
    <mergeCell ref="C12:C13"/>
    <mergeCell ref="D12:D13"/>
    <mergeCell ref="G12:G13"/>
    <mergeCell ref="J12:J13"/>
    <mergeCell ref="K10:K11"/>
    <mergeCell ref="L10:L11"/>
    <mergeCell ref="M10:M11"/>
    <mergeCell ref="N10:N11"/>
    <mergeCell ref="O10:O13"/>
    <mergeCell ref="P10:P13"/>
    <mergeCell ref="K12:K13"/>
    <mergeCell ref="L12:L13"/>
    <mergeCell ref="M12:M13"/>
    <mergeCell ref="S10:S13"/>
    <mergeCell ref="T10:T13"/>
    <mergeCell ref="L18:L19"/>
    <mergeCell ref="M18:M19"/>
    <mergeCell ref="N18:N19"/>
    <mergeCell ref="U15:U17"/>
    <mergeCell ref="C16:C17"/>
    <mergeCell ref="D16:D17"/>
    <mergeCell ref="B18:B21"/>
    <mergeCell ref="C18:C19"/>
    <mergeCell ref="D18:D19"/>
    <mergeCell ref="E18:E19"/>
    <mergeCell ref="F18:F19"/>
    <mergeCell ref="G18:G19"/>
    <mergeCell ref="H18:H19"/>
    <mergeCell ref="P14:P17"/>
    <mergeCell ref="Q14:Q17"/>
    <mergeCell ref="R14:R17"/>
    <mergeCell ref="S14:S17"/>
    <mergeCell ref="T14:T17"/>
    <mergeCell ref="H14:H15"/>
    <mergeCell ref="J14:J15"/>
    <mergeCell ref="K14:K15"/>
    <mergeCell ref="L14:L15"/>
    <mergeCell ref="M14:M15"/>
    <mergeCell ref="N14:N15"/>
    <mergeCell ref="B22:B25"/>
    <mergeCell ref="C22:C23"/>
    <mergeCell ref="D22:D23"/>
    <mergeCell ref="F22:F23"/>
    <mergeCell ref="J22:J23"/>
    <mergeCell ref="K22:K23"/>
    <mergeCell ref="I22:I25"/>
    <mergeCell ref="U19:U21"/>
    <mergeCell ref="C20:C21"/>
    <mergeCell ref="D20:D21"/>
    <mergeCell ref="F20:F21"/>
    <mergeCell ref="J20:J21"/>
    <mergeCell ref="K20:K21"/>
    <mergeCell ref="L20:L21"/>
    <mergeCell ref="M20:M21"/>
    <mergeCell ref="N20:N21"/>
    <mergeCell ref="O18:O19"/>
    <mergeCell ref="P18:P21"/>
    <mergeCell ref="Q18:Q21"/>
    <mergeCell ref="R18:R21"/>
    <mergeCell ref="S18:S21"/>
    <mergeCell ref="T18:T21"/>
    <mergeCell ref="J18:J19"/>
    <mergeCell ref="K18:K19"/>
    <mergeCell ref="S22:S25"/>
    <mergeCell ref="T22:T25"/>
    <mergeCell ref="C24:C25"/>
    <mergeCell ref="D24:D25"/>
    <mergeCell ref="F24:F25"/>
    <mergeCell ref="J24:J25"/>
    <mergeCell ref="K24:K25"/>
    <mergeCell ref="L24:L25"/>
    <mergeCell ref="M24:M25"/>
    <mergeCell ref="L22:L23"/>
    <mergeCell ref="M22:M23"/>
    <mergeCell ref="N22:N23"/>
    <mergeCell ref="P22:P25"/>
    <mergeCell ref="Q22:Q25"/>
    <mergeCell ref="R22:R25"/>
    <mergeCell ref="N24:N25"/>
    <mergeCell ref="B26:B29"/>
    <mergeCell ref="C26:C27"/>
    <mergeCell ref="P26:P29"/>
    <mergeCell ref="E132:H132"/>
    <mergeCell ref="S133:T133"/>
    <mergeCell ref="T137:V137"/>
    <mergeCell ref="T138:V138"/>
    <mergeCell ref="G135:G136"/>
    <mergeCell ref="B130:D131"/>
    <mergeCell ref="J130:J131"/>
    <mergeCell ref="K130:K131"/>
    <mergeCell ref="L130:L131"/>
    <mergeCell ref="M130:M131"/>
    <mergeCell ref="N130:N131"/>
    <mergeCell ref="Q26:Q29"/>
    <mergeCell ref="R26:R29"/>
    <mergeCell ref="S26:S29"/>
    <mergeCell ref="T26:T29"/>
    <mergeCell ref="U27:U29"/>
    <mergeCell ref="C28:C29"/>
    <mergeCell ref="D28:D29"/>
    <mergeCell ref="G28:G29"/>
    <mergeCell ref="J28:J29"/>
    <mergeCell ref="K28:K29"/>
    <mergeCell ref="L28:L29"/>
    <mergeCell ref="M28:M29"/>
    <mergeCell ref="B30:B33"/>
    <mergeCell ref="C30:C31"/>
    <mergeCell ref="D30:D31"/>
    <mergeCell ref="G30:G31"/>
    <mergeCell ref="I30:I33"/>
    <mergeCell ref="J30:J31"/>
    <mergeCell ref="K30:K31"/>
    <mergeCell ref="L30:L31"/>
    <mergeCell ref="C32:C33"/>
    <mergeCell ref="D32:D33"/>
    <mergeCell ref="G32:G33"/>
    <mergeCell ref="J32:J33"/>
    <mergeCell ref="K32:K33"/>
    <mergeCell ref="L32:L33"/>
    <mergeCell ref="M30:M31"/>
    <mergeCell ref="N30:N31"/>
    <mergeCell ref="O30:O33"/>
    <mergeCell ref="P30:P33"/>
    <mergeCell ref="Q30:Q33"/>
    <mergeCell ref="R30:R33"/>
    <mergeCell ref="S30:S33"/>
    <mergeCell ref="T30:T33"/>
    <mergeCell ref="U31:U33"/>
    <mergeCell ref="M32:M33"/>
    <mergeCell ref="B34:B37"/>
    <mergeCell ref="C34:C35"/>
    <mergeCell ref="D34:D35"/>
    <mergeCell ref="G34:G35"/>
    <mergeCell ref="I34:I37"/>
    <mergeCell ref="J34:J35"/>
    <mergeCell ref="K34:K35"/>
    <mergeCell ref="L34:L35"/>
    <mergeCell ref="C36:C37"/>
    <mergeCell ref="D36:D37"/>
    <mergeCell ref="G36:G37"/>
    <mergeCell ref="J36:J37"/>
    <mergeCell ref="K36:K37"/>
    <mergeCell ref="L36:L37"/>
    <mergeCell ref="M34:M35"/>
    <mergeCell ref="N34:N35"/>
    <mergeCell ref="O34:O37"/>
    <mergeCell ref="P34:P37"/>
    <mergeCell ref="Q34:Q37"/>
    <mergeCell ref="R34:R37"/>
    <mergeCell ref="S34:S37"/>
    <mergeCell ref="T34:T37"/>
    <mergeCell ref="U35:U37"/>
    <mergeCell ref="M36:M37"/>
    <mergeCell ref="B38:B41"/>
    <mergeCell ref="C38:C39"/>
    <mergeCell ref="D38:D39"/>
    <mergeCell ref="E38:E39"/>
    <mergeCell ref="F38:F39"/>
    <mergeCell ref="G38:G39"/>
    <mergeCell ref="H38:H39"/>
    <mergeCell ref="I38:I39"/>
    <mergeCell ref="J38:J39"/>
    <mergeCell ref="T38:T41"/>
    <mergeCell ref="U39:U41"/>
    <mergeCell ref="C40:C41"/>
    <mergeCell ref="D40:D41"/>
    <mergeCell ref="G40:G41"/>
    <mergeCell ref="J40:J41"/>
    <mergeCell ref="K40:K41"/>
    <mergeCell ref="L40:L41"/>
    <mergeCell ref="M40:M41"/>
    <mergeCell ref="K38:K39"/>
    <mergeCell ref="L38:L39"/>
    <mergeCell ref="M38:M39"/>
    <mergeCell ref="N38:N39"/>
    <mergeCell ref="O38:O41"/>
    <mergeCell ref="P38:P41"/>
    <mergeCell ref="Q38:Q41"/>
    <mergeCell ref="R38:R41"/>
    <mergeCell ref="S38:S41"/>
    <mergeCell ref="L42:L43"/>
    <mergeCell ref="M42:M43"/>
    <mergeCell ref="N42:N43"/>
    <mergeCell ref="P42:P45"/>
    <mergeCell ref="Q42:Q45"/>
    <mergeCell ref="R42:R45"/>
    <mergeCell ref="S42:S45"/>
    <mergeCell ref="T42:T45"/>
    <mergeCell ref="B42:B45"/>
    <mergeCell ref="C42:C43"/>
    <mergeCell ref="D42:D43"/>
    <mergeCell ref="E42:E43"/>
    <mergeCell ref="F42:F43"/>
    <mergeCell ref="G42:G43"/>
    <mergeCell ref="H42:H43"/>
    <mergeCell ref="J42:J43"/>
    <mergeCell ref="K42:K43"/>
    <mergeCell ref="U43:U45"/>
    <mergeCell ref="C44:C45"/>
    <mergeCell ref="D44:D45"/>
    <mergeCell ref="G44:G45"/>
    <mergeCell ref="J44:J45"/>
    <mergeCell ref="K44:K45"/>
    <mergeCell ref="L44:L45"/>
    <mergeCell ref="M44:M45"/>
    <mergeCell ref="B46:B49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9"/>
    <mergeCell ref="Q46:Q49"/>
    <mergeCell ref="R46:R49"/>
    <mergeCell ref="S46:S49"/>
    <mergeCell ref="T46:T49"/>
    <mergeCell ref="U47:U49"/>
    <mergeCell ref="C48:C49"/>
    <mergeCell ref="D48:D49"/>
    <mergeCell ref="G48:G49"/>
    <mergeCell ref="J48:J49"/>
    <mergeCell ref="K48:K49"/>
    <mergeCell ref="L48:L49"/>
    <mergeCell ref="M48:M49"/>
    <mergeCell ref="N48:N49"/>
    <mergeCell ref="S50:S53"/>
    <mergeCell ref="T50:T53"/>
    <mergeCell ref="C52:C53"/>
    <mergeCell ref="B50:B53"/>
    <mergeCell ref="C50:C51"/>
    <mergeCell ref="D50:D51"/>
    <mergeCell ref="E50:E51"/>
    <mergeCell ref="F50:F51"/>
    <mergeCell ref="G50:G51"/>
    <mergeCell ref="H50:H51"/>
    <mergeCell ref="J50:J51"/>
    <mergeCell ref="K50:K51"/>
    <mergeCell ref="B54:B57"/>
    <mergeCell ref="C54:C55"/>
    <mergeCell ref="P54:P57"/>
    <mergeCell ref="L50:L51"/>
    <mergeCell ref="M50:M51"/>
    <mergeCell ref="N50:N51"/>
    <mergeCell ref="P50:P53"/>
    <mergeCell ref="Q50:Q53"/>
    <mergeCell ref="R50:R53"/>
    <mergeCell ref="Q54:Q57"/>
    <mergeCell ref="R54:R57"/>
    <mergeCell ref="S54:S57"/>
    <mergeCell ref="T54:T57"/>
    <mergeCell ref="U55:U57"/>
    <mergeCell ref="C56:C57"/>
    <mergeCell ref="D56:D57"/>
    <mergeCell ref="G56:G57"/>
    <mergeCell ref="J56:J57"/>
    <mergeCell ref="K56:K57"/>
    <mergeCell ref="L56:L57"/>
    <mergeCell ref="M56:M57"/>
    <mergeCell ref="B58:B61"/>
    <mergeCell ref="C58:C59"/>
    <mergeCell ref="D58:D59"/>
    <mergeCell ref="G58:G59"/>
    <mergeCell ref="I58:I61"/>
    <mergeCell ref="J58:J59"/>
    <mergeCell ref="K58:K59"/>
    <mergeCell ref="L58:L59"/>
    <mergeCell ref="C60:C61"/>
    <mergeCell ref="D60:D61"/>
    <mergeCell ref="G60:G61"/>
    <mergeCell ref="J60:J61"/>
    <mergeCell ref="K60:K61"/>
    <mergeCell ref="L60:L61"/>
    <mergeCell ref="M58:M59"/>
    <mergeCell ref="N58:N59"/>
    <mergeCell ref="O58:O61"/>
    <mergeCell ref="P58:P61"/>
    <mergeCell ref="Q58:Q61"/>
    <mergeCell ref="R58:R61"/>
    <mergeCell ref="S58:S61"/>
    <mergeCell ref="T58:T61"/>
    <mergeCell ref="U59:U61"/>
    <mergeCell ref="M60:M61"/>
    <mergeCell ref="B62:B65"/>
    <mergeCell ref="C62:C63"/>
    <mergeCell ref="D62:D63"/>
    <mergeCell ref="G62:G63"/>
    <mergeCell ref="I62:I65"/>
    <mergeCell ref="J62:J63"/>
    <mergeCell ref="K62:K63"/>
    <mergeCell ref="L62:L63"/>
    <mergeCell ref="C64:C65"/>
    <mergeCell ref="D64:D65"/>
    <mergeCell ref="M62:M63"/>
    <mergeCell ref="N62:N63"/>
    <mergeCell ref="O62:O65"/>
    <mergeCell ref="P62:P65"/>
    <mergeCell ref="Q62:Q65"/>
    <mergeCell ref="R62:R65"/>
    <mergeCell ref="S62:S65"/>
    <mergeCell ref="T62:T65"/>
    <mergeCell ref="U63:U65"/>
    <mergeCell ref="M66:M67"/>
    <mergeCell ref="N66:N67"/>
    <mergeCell ref="O66:O69"/>
    <mergeCell ref="P66:P69"/>
    <mergeCell ref="Q66:Q69"/>
    <mergeCell ref="R66:R69"/>
    <mergeCell ref="S66:S69"/>
    <mergeCell ref="B66:B69"/>
    <mergeCell ref="C66:C67"/>
    <mergeCell ref="D66:D67"/>
    <mergeCell ref="E66:E67"/>
    <mergeCell ref="F66:F67"/>
    <mergeCell ref="G66:G67"/>
    <mergeCell ref="H66:H67"/>
    <mergeCell ref="I66:I69"/>
    <mergeCell ref="J66:J67"/>
    <mergeCell ref="T66:T69"/>
    <mergeCell ref="U67:U69"/>
    <mergeCell ref="C68:C69"/>
    <mergeCell ref="D68:D69"/>
    <mergeCell ref="B70:B73"/>
    <mergeCell ref="C70:C71"/>
    <mergeCell ref="D70:D71"/>
    <mergeCell ref="E70:E71"/>
    <mergeCell ref="F70:F71"/>
    <mergeCell ref="G70:G71"/>
    <mergeCell ref="H70:H71"/>
    <mergeCell ref="J70:J71"/>
    <mergeCell ref="K70:K71"/>
    <mergeCell ref="L70:L71"/>
    <mergeCell ref="M70:M71"/>
    <mergeCell ref="N70:N71"/>
    <mergeCell ref="P70:P73"/>
    <mergeCell ref="Q70:Q73"/>
    <mergeCell ref="R70:R73"/>
    <mergeCell ref="S70:S73"/>
    <mergeCell ref="T70:T73"/>
    <mergeCell ref="U71:U73"/>
    <mergeCell ref="K66:K67"/>
    <mergeCell ref="L66:L67"/>
    <mergeCell ref="C72:C73"/>
    <mergeCell ref="D72:D73"/>
    <mergeCell ref="G72:G73"/>
    <mergeCell ref="B74:B77"/>
    <mergeCell ref="C74:C75"/>
    <mergeCell ref="D74:D75"/>
    <mergeCell ref="F74:F75"/>
    <mergeCell ref="G74:G75"/>
    <mergeCell ref="H74:H75"/>
    <mergeCell ref="R74:R77"/>
    <mergeCell ref="S74:S77"/>
    <mergeCell ref="T74:T77"/>
    <mergeCell ref="U75:U77"/>
    <mergeCell ref="C76:C77"/>
    <mergeCell ref="D76:D77"/>
    <mergeCell ref="G76:G77"/>
    <mergeCell ref="J76:J77"/>
    <mergeCell ref="K76:K77"/>
    <mergeCell ref="L76:L77"/>
    <mergeCell ref="M76:M77"/>
    <mergeCell ref="N76:N77"/>
    <mergeCell ref="I74:I75"/>
    <mergeCell ref="J74:J75"/>
    <mergeCell ref="K74:K75"/>
    <mergeCell ref="L74:L75"/>
    <mergeCell ref="M74:M75"/>
    <mergeCell ref="N74:N75"/>
    <mergeCell ref="O74:O75"/>
    <mergeCell ref="P74:P77"/>
    <mergeCell ref="Q74:Q77"/>
    <mergeCell ref="S78:S81"/>
    <mergeCell ref="T78:T81"/>
    <mergeCell ref="C80:C81"/>
    <mergeCell ref="B78:B81"/>
    <mergeCell ref="C78:C79"/>
    <mergeCell ref="D78:D79"/>
    <mergeCell ref="E78:E79"/>
    <mergeCell ref="F78:F79"/>
    <mergeCell ref="G78:G79"/>
    <mergeCell ref="H78:H79"/>
    <mergeCell ref="J78:J79"/>
    <mergeCell ref="K78:K79"/>
    <mergeCell ref="B82:B85"/>
    <mergeCell ref="C82:C83"/>
    <mergeCell ref="P82:P85"/>
    <mergeCell ref="L78:L79"/>
    <mergeCell ref="M78:M79"/>
    <mergeCell ref="N78:N79"/>
    <mergeCell ref="P78:P81"/>
    <mergeCell ref="Q78:Q81"/>
    <mergeCell ref="R78:R81"/>
    <mergeCell ref="Q82:Q85"/>
    <mergeCell ref="R82:R85"/>
    <mergeCell ref="S82:S85"/>
    <mergeCell ref="T82:T85"/>
    <mergeCell ref="U83:U85"/>
    <mergeCell ref="C84:C85"/>
    <mergeCell ref="D84:D85"/>
    <mergeCell ref="F84:F85"/>
    <mergeCell ref="J84:J85"/>
    <mergeCell ref="K84:K85"/>
    <mergeCell ref="L84:L85"/>
    <mergeCell ref="M84:M85"/>
    <mergeCell ref="N84:N85"/>
    <mergeCell ref="A86:A89"/>
    <mergeCell ref="B86:B89"/>
    <mergeCell ref="C86:C87"/>
    <mergeCell ref="D86:D87"/>
    <mergeCell ref="F86:F87"/>
    <mergeCell ref="I86:I89"/>
    <mergeCell ref="J86:J87"/>
    <mergeCell ref="K86:K87"/>
    <mergeCell ref="L86:L87"/>
    <mergeCell ref="C88:C89"/>
    <mergeCell ref="D88:D89"/>
    <mergeCell ref="F88:F89"/>
    <mergeCell ref="J88:J89"/>
    <mergeCell ref="K88:K89"/>
    <mergeCell ref="L88:L89"/>
    <mergeCell ref="M86:M87"/>
    <mergeCell ref="N86:N87"/>
    <mergeCell ref="O86:O89"/>
    <mergeCell ref="P86:P89"/>
    <mergeCell ref="Q86:Q89"/>
    <mergeCell ref="R86:R89"/>
    <mergeCell ref="S86:S89"/>
    <mergeCell ref="T86:T89"/>
    <mergeCell ref="U87:U89"/>
    <mergeCell ref="M88:M89"/>
    <mergeCell ref="N88:N89"/>
    <mergeCell ref="A90:A93"/>
    <mergeCell ref="B90:B93"/>
    <mergeCell ref="C90:C91"/>
    <mergeCell ref="D90:D91"/>
    <mergeCell ref="F90:F91"/>
    <mergeCell ref="I90:I93"/>
    <mergeCell ref="J90:J91"/>
    <mergeCell ref="K90:K91"/>
    <mergeCell ref="L90:L91"/>
    <mergeCell ref="C92:C93"/>
    <mergeCell ref="D92:D93"/>
    <mergeCell ref="F92:F93"/>
    <mergeCell ref="J92:J93"/>
    <mergeCell ref="K92:K93"/>
    <mergeCell ref="L92:L93"/>
    <mergeCell ref="M90:M91"/>
    <mergeCell ref="N90:N91"/>
    <mergeCell ref="O90:O93"/>
    <mergeCell ref="P90:P93"/>
    <mergeCell ref="Q90:Q93"/>
    <mergeCell ref="R90:R93"/>
    <mergeCell ref="S90:S93"/>
    <mergeCell ref="T90:T93"/>
    <mergeCell ref="U91:U93"/>
    <mergeCell ref="M92:M93"/>
    <mergeCell ref="N92:N93"/>
    <mergeCell ref="O94:O97"/>
    <mergeCell ref="P94:P97"/>
    <mergeCell ref="Q94:Q97"/>
    <mergeCell ref="R94:R97"/>
    <mergeCell ref="S94:S97"/>
    <mergeCell ref="B94:B97"/>
    <mergeCell ref="C94:C95"/>
    <mergeCell ref="D94:D95"/>
    <mergeCell ref="E94:E95"/>
    <mergeCell ref="F94:F95"/>
    <mergeCell ref="G94:G95"/>
    <mergeCell ref="H94:H95"/>
    <mergeCell ref="I94:I95"/>
    <mergeCell ref="J94:J95"/>
    <mergeCell ref="T94:T97"/>
    <mergeCell ref="U95:U97"/>
    <mergeCell ref="C96:C97"/>
    <mergeCell ref="D96:D97"/>
    <mergeCell ref="B98:B101"/>
    <mergeCell ref="C98:C99"/>
    <mergeCell ref="D98:D99"/>
    <mergeCell ref="E98:E99"/>
    <mergeCell ref="F98:F99"/>
    <mergeCell ref="G98:G99"/>
    <mergeCell ref="H98:H99"/>
    <mergeCell ref="J98:J99"/>
    <mergeCell ref="K98:K99"/>
    <mergeCell ref="L98:L99"/>
    <mergeCell ref="M98:M99"/>
    <mergeCell ref="N98:N99"/>
    <mergeCell ref="P98:P101"/>
    <mergeCell ref="Q98:Q101"/>
    <mergeCell ref="R98:R101"/>
    <mergeCell ref="S98:S101"/>
    <mergeCell ref="T98:T101"/>
    <mergeCell ref="U99:U101"/>
    <mergeCell ref="K94:K95"/>
    <mergeCell ref="L94:L95"/>
    <mergeCell ref="U103:U105"/>
    <mergeCell ref="C104:C105"/>
    <mergeCell ref="D104:D105"/>
    <mergeCell ref="E104:E105"/>
    <mergeCell ref="J104:J105"/>
    <mergeCell ref="K104:K105"/>
    <mergeCell ref="L104:L105"/>
    <mergeCell ref="M104:M105"/>
    <mergeCell ref="N104:N105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P106:P109"/>
    <mergeCell ref="Q106:Q109"/>
    <mergeCell ref="R106:R109"/>
    <mergeCell ref="S106:S109"/>
    <mergeCell ref="T106:T109"/>
    <mergeCell ref="C108:C109"/>
    <mergeCell ref="N102:N103"/>
    <mergeCell ref="O102:O103"/>
    <mergeCell ref="P102:P105"/>
    <mergeCell ref="Q102:Q105"/>
    <mergeCell ref="R102:R105"/>
    <mergeCell ref="S102:S105"/>
    <mergeCell ref="T102:T105"/>
    <mergeCell ref="U111:U113"/>
    <mergeCell ref="C112:C113"/>
    <mergeCell ref="A114:A117"/>
    <mergeCell ref="B114:B117"/>
    <mergeCell ref="C114:C115"/>
    <mergeCell ref="P114:P117"/>
    <mergeCell ref="Q114:Q117"/>
    <mergeCell ref="R114:R117"/>
    <mergeCell ref="S114:S117"/>
    <mergeCell ref="T114:T117"/>
    <mergeCell ref="U115:U117"/>
    <mergeCell ref="C116:C117"/>
    <mergeCell ref="A110:A113"/>
    <mergeCell ref="B110:B113"/>
    <mergeCell ref="C110:C111"/>
    <mergeCell ref="P110:P113"/>
    <mergeCell ref="Q110:Q113"/>
    <mergeCell ref="R110:R113"/>
    <mergeCell ref="S110:S113"/>
    <mergeCell ref="T110:T113"/>
    <mergeCell ref="U119:U121"/>
    <mergeCell ref="C120:C121"/>
    <mergeCell ref="D120:D121"/>
    <mergeCell ref="G120:G121"/>
    <mergeCell ref="J120:J121"/>
    <mergeCell ref="K120:K121"/>
    <mergeCell ref="L120:L121"/>
    <mergeCell ref="M120:M121"/>
    <mergeCell ref="N120:N121"/>
    <mergeCell ref="C118:C119"/>
    <mergeCell ref="O118:O121"/>
    <mergeCell ref="P118:P121"/>
    <mergeCell ref="Q118:Q121"/>
    <mergeCell ref="R118:R121"/>
    <mergeCell ref="S118:S121"/>
    <mergeCell ref="T118:T121"/>
    <mergeCell ref="A122:A125"/>
    <mergeCell ref="B122:B125"/>
    <mergeCell ref="C122:C123"/>
    <mergeCell ref="D122:D123"/>
    <mergeCell ref="E122:E123"/>
    <mergeCell ref="F122:F123"/>
    <mergeCell ref="G122:G123"/>
    <mergeCell ref="H122:H123"/>
    <mergeCell ref="I122:I125"/>
    <mergeCell ref="T122:T125"/>
    <mergeCell ref="U123:U125"/>
    <mergeCell ref="C124:C125"/>
    <mergeCell ref="D124:D125"/>
    <mergeCell ref="G124:G125"/>
    <mergeCell ref="J124:J125"/>
    <mergeCell ref="K124:K125"/>
    <mergeCell ref="L124:L125"/>
    <mergeCell ref="M124:M125"/>
    <mergeCell ref="N124:N125"/>
    <mergeCell ref="J122:J123"/>
    <mergeCell ref="K122:K123"/>
    <mergeCell ref="L122:L123"/>
    <mergeCell ref="M122:M123"/>
    <mergeCell ref="N122:N123"/>
    <mergeCell ref="O122:O125"/>
    <mergeCell ref="P122:P125"/>
    <mergeCell ref="Q122:Q125"/>
    <mergeCell ref="R122:R125"/>
    <mergeCell ref="A126:A129"/>
    <mergeCell ref="B126:B129"/>
    <mergeCell ref="C126:C127"/>
    <mergeCell ref="D126:D127"/>
    <mergeCell ref="E126:E127"/>
    <mergeCell ref="F126:F127"/>
    <mergeCell ref="G126:G127"/>
    <mergeCell ref="H126:H127"/>
    <mergeCell ref="J126:J127"/>
    <mergeCell ref="U127:U129"/>
    <mergeCell ref="C128:C129"/>
    <mergeCell ref="D128:D129"/>
    <mergeCell ref="G128:G129"/>
    <mergeCell ref="J128:J129"/>
    <mergeCell ref="K128:K129"/>
    <mergeCell ref="L128:L129"/>
    <mergeCell ref="M128:M129"/>
    <mergeCell ref="V8:AC8"/>
    <mergeCell ref="D52:N55"/>
    <mergeCell ref="D26:N27"/>
    <mergeCell ref="D80:N83"/>
    <mergeCell ref="D110:N113"/>
    <mergeCell ref="D114:N117"/>
    <mergeCell ref="K126:K127"/>
    <mergeCell ref="L126:L127"/>
    <mergeCell ref="M126:M127"/>
    <mergeCell ref="N126:N127"/>
    <mergeCell ref="P126:P129"/>
    <mergeCell ref="Q126:Q129"/>
    <mergeCell ref="R126:R129"/>
    <mergeCell ref="S126:S129"/>
    <mergeCell ref="T126:T129"/>
    <mergeCell ref="S122:S125"/>
    <mergeCell ref="A22:A25"/>
    <mergeCell ref="A26:A29"/>
    <mergeCell ref="A38:A41"/>
    <mergeCell ref="A42:A45"/>
    <mergeCell ref="A46:A49"/>
    <mergeCell ref="A50:A53"/>
    <mergeCell ref="A54:A57"/>
    <mergeCell ref="A66:A69"/>
    <mergeCell ref="A70:A73"/>
    <mergeCell ref="A62:A65"/>
    <mergeCell ref="A58:A61"/>
    <mergeCell ref="A34:A37"/>
    <mergeCell ref="A30:A33"/>
    <mergeCell ref="A74:A77"/>
    <mergeCell ref="A78:A81"/>
    <mergeCell ref="A82:A85"/>
    <mergeCell ref="A94:A97"/>
    <mergeCell ref="A98:A101"/>
    <mergeCell ref="A102:A105"/>
    <mergeCell ref="A106:A109"/>
    <mergeCell ref="D118:N119"/>
    <mergeCell ref="D108:N109"/>
    <mergeCell ref="A118:A121"/>
    <mergeCell ref="B118:B121"/>
    <mergeCell ref="B106:B109"/>
    <mergeCell ref="C106:C107"/>
    <mergeCell ref="D106:N107"/>
    <mergeCell ref="C100:C101"/>
    <mergeCell ref="D100:D101"/>
    <mergeCell ref="E100:E101"/>
    <mergeCell ref="J100:J101"/>
    <mergeCell ref="K100:K101"/>
    <mergeCell ref="L100:L101"/>
    <mergeCell ref="M100:M101"/>
    <mergeCell ref="B102:B105"/>
    <mergeCell ref="M94:M95"/>
    <mergeCell ref="N94:N9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58"/>
  <sheetViews>
    <sheetView showGridLines="0" zoomScale="90" zoomScaleNormal="90" workbookViewId="0">
      <pane ySplit="9" topLeftCell="A70" activePane="bottomLeft" state="frozen"/>
      <selection activeCell="C1" sqref="C1"/>
      <selection pane="bottomLeft" activeCell="X20" sqref="X20"/>
    </sheetView>
  </sheetViews>
  <sheetFormatPr baseColWidth="10" defaultRowHeight="15.75"/>
  <cols>
    <col min="1" max="1" width="6" style="293" customWidth="1"/>
    <col min="2" max="2" width="10.28515625" customWidth="1"/>
    <col min="4" max="4" width="13.570312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9.28515625" style="3" customWidth="1"/>
    <col min="30" max="30" width="45.7109375" style="4" customWidth="1"/>
    <col min="31" max="31" width="11.42578125" style="176"/>
  </cols>
  <sheetData>
    <row r="1" spans="1:32" ht="62.25" customHeight="1">
      <c r="Q1" s="641" t="s">
        <v>95</v>
      </c>
      <c r="R1" s="641"/>
      <c r="S1" s="641"/>
      <c r="T1" s="641"/>
      <c r="U1" s="641"/>
      <c r="V1" s="641"/>
      <c r="W1" s="641"/>
      <c r="X1" s="641"/>
      <c r="Y1" s="311"/>
      <c r="Z1" s="311"/>
      <c r="AA1" s="311"/>
      <c r="AB1" s="311"/>
      <c r="AC1" s="311"/>
      <c r="AD1" s="311"/>
      <c r="AE1" s="311"/>
      <c r="AF1" s="311"/>
    </row>
    <row r="2" spans="1:32">
      <c r="I2" s="126"/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26"/>
      <c r="Q2" s="125"/>
      <c r="S2" s="119"/>
      <c r="T2" s="119"/>
      <c r="U2" s="125"/>
      <c r="V2" s="125"/>
      <c r="W2" s="125"/>
      <c r="X2" s="125"/>
      <c r="Y2" s="125"/>
      <c r="Z2" s="125"/>
      <c r="AA2" s="125"/>
      <c r="AB2" s="125"/>
      <c r="AC2" s="125"/>
    </row>
    <row r="3" spans="1:32" ht="15.75" customHeight="1">
      <c r="B3" t="s">
        <v>65</v>
      </c>
      <c r="D3" s="152"/>
      <c r="E3" s="153">
        <f>16*24</f>
        <v>384</v>
      </c>
      <c r="F3" t="s">
        <v>64</v>
      </c>
      <c r="G3" s="468" t="str">
        <f>E9</f>
        <v>PVC Isolat°</v>
      </c>
      <c r="H3" s="468"/>
      <c r="I3" s="1"/>
      <c r="J3" s="296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302"/>
      <c r="Q3" s="302"/>
      <c r="R3" s="7"/>
      <c r="S3" s="119"/>
      <c r="T3" s="119"/>
      <c r="U3" s="123"/>
      <c r="V3" s="123"/>
      <c r="W3" s="123"/>
      <c r="X3" s="123"/>
      <c r="Y3" s="123"/>
      <c r="Z3" s="123"/>
      <c r="AA3" s="123"/>
      <c r="AB3" s="123"/>
      <c r="AC3" s="123"/>
    </row>
    <row r="4" spans="1:32" ht="15.75" customHeight="1">
      <c r="B4" t="s">
        <v>63</v>
      </c>
      <c r="D4" s="152"/>
      <c r="E4">
        <f>E3-60</f>
        <v>324</v>
      </c>
      <c r="F4" t="s">
        <v>64</v>
      </c>
      <c r="G4" s="469" t="str">
        <f>F9</f>
        <v>PVC Gris</v>
      </c>
      <c r="H4" s="469"/>
      <c r="I4" s="8"/>
      <c r="J4" s="298">
        <v>0.45</v>
      </c>
      <c r="K4" s="297">
        <v>0.26829999999999998</v>
      </c>
      <c r="L4" s="297">
        <v>0.26790000000000003</v>
      </c>
      <c r="M4" s="297">
        <v>1.38E-2</v>
      </c>
      <c r="N4" s="8">
        <v>7.4000000000000003E-3</v>
      </c>
      <c r="O4" s="121"/>
      <c r="P4" s="302"/>
      <c r="Q4" s="302"/>
      <c r="R4" s="119"/>
    </row>
    <row r="5" spans="1:32" ht="15.75" customHeight="1">
      <c r="B5" t="s">
        <v>62</v>
      </c>
      <c r="D5" s="154">
        <v>10320</v>
      </c>
      <c r="E5" t="s">
        <v>61</v>
      </c>
      <c r="G5" s="470" t="str">
        <f>G9</f>
        <v>PVC Gainage</v>
      </c>
      <c r="H5" s="470"/>
      <c r="I5" s="9"/>
      <c r="J5" s="300">
        <v>0.45</v>
      </c>
      <c r="K5" s="299">
        <v>0.26829999999999998</v>
      </c>
      <c r="L5" s="299">
        <v>0.26790000000000003</v>
      </c>
      <c r="M5" s="299">
        <v>1.38E-2</v>
      </c>
      <c r="N5" s="6"/>
      <c r="O5" s="11"/>
      <c r="P5" s="302"/>
      <c r="Q5" s="302"/>
      <c r="R5" s="119"/>
      <c r="X5" s="118"/>
    </row>
    <row r="6" spans="1:32" ht="15.75" customHeight="1">
      <c r="D6">
        <f>D5/2</f>
        <v>5160</v>
      </c>
      <c r="E6" t="s">
        <v>79</v>
      </c>
      <c r="G6" s="471" t="str">
        <f>H9</f>
        <v>PVC Bourrage</v>
      </c>
      <c r="H6" s="471"/>
      <c r="I6" s="10"/>
      <c r="J6" s="301">
        <v>0.35320000000000001</v>
      </c>
      <c r="K6" s="301">
        <v>0.42420000000000002</v>
      </c>
      <c r="L6" s="301">
        <v>0.21199999999999999</v>
      </c>
      <c r="M6" s="301">
        <v>1.06E-2</v>
      </c>
      <c r="N6" s="6"/>
      <c r="O6" s="11"/>
      <c r="P6" s="302"/>
      <c r="Q6" s="302"/>
      <c r="R6" s="3">
        <v>12</v>
      </c>
      <c r="T6" s="7"/>
      <c r="U6" s="116"/>
      <c r="V6" s="116"/>
      <c r="W6" s="116"/>
      <c r="X6" s="116"/>
      <c r="Y6" s="116"/>
      <c r="Z6" s="116"/>
      <c r="AA6" s="116"/>
      <c r="AB6" s="116"/>
      <c r="AC6" s="116"/>
    </row>
    <row r="7" spans="1:32" s="11" customFormat="1">
      <c r="A7" s="294"/>
      <c r="H7" s="12"/>
      <c r="Q7" s="116"/>
      <c r="R7" s="115">
        <v>24</v>
      </c>
      <c r="T7" s="3"/>
      <c r="U7" s="13"/>
      <c r="V7" s="13"/>
      <c r="W7" s="13"/>
      <c r="X7" s="13"/>
      <c r="Y7" s="13"/>
      <c r="Z7" s="13"/>
      <c r="AA7" s="13"/>
      <c r="AB7" s="13"/>
      <c r="AC7" s="13"/>
      <c r="AD7" s="14"/>
      <c r="AE7" s="12"/>
    </row>
    <row r="8" spans="1:32" ht="18.75" customHeight="1">
      <c r="B8" s="502" t="s">
        <v>0</v>
      </c>
      <c r="C8" s="502" t="s">
        <v>1</v>
      </c>
      <c r="D8" s="502" t="s">
        <v>2</v>
      </c>
      <c r="E8" s="475" t="s">
        <v>3</v>
      </c>
      <c r="F8" s="475"/>
      <c r="G8" s="475"/>
      <c r="H8" s="476"/>
      <c r="I8" s="503"/>
      <c r="J8" s="505" t="s">
        <v>4</v>
      </c>
      <c r="K8" s="475"/>
      <c r="L8" s="475"/>
      <c r="M8" s="475"/>
      <c r="N8" s="475"/>
      <c r="O8" s="503"/>
      <c r="P8" s="114" t="s">
        <v>49</v>
      </c>
      <c r="Q8" s="113" t="s">
        <v>48</v>
      </c>
      <c r="R8" s="472" t="s">
        <v>47</v>
      </c>
      <c r="S8" s="609" t="s">
        <v>46</v>
      </c>
      <c r="T8" s="609"/>
      <c r="V8" s="447" t="s">
        <v>33</v>
      </c>
      <c r="W8" s="448"/>
      <c r="X8" s="448"/>
      <c r="Y8" s="448"/>
      <c r="Z8" s="448"/>
      <c r="AA8" s="448"/>
      <c r="AB8" s="449"/>
      <c r="AC8" s="260"/>
      <c r="AD8" s="112"/>
    </row>
    <row r="9" spans="1:32" ht="35.25" customHeight="1" thickBot="1">
      <c r="B9" s="502"/>
      <c r="C9" s="502"/>
      <c r="D9" s="502"/>
      <c r="E9" s="111" t="s">
        <v>6</v>
      </c>
      <c r="F9" s="110" t="s">
        <v>7</v>
      </c>
      <c r="G9" s="109" t="s">
        <v>8</v>
      </c>
      <c r="H9" s="108" t="s">
        <v>9</v>
      </c>
      <c r="I9" s="504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4"/>
      <c r="P9" s="107" t="s">
        <v>45</v>
      </c>
      <c r="Q9" s="107" t="s">
        <v>44</v>
      </c>
      <c r="R9" s="473"/>
      <c r="S9" s="106" t="s">
        <v>43</v>
      </c>
      <c r="T9" s="105" t="s">
        <v>42</v>
      </c>
      <c r="U9" s="56"/>
      <c r="V9" s="178" t="s">
        <v>41</v>
      </c>
      <c r="W9" s="179" t="s">
        <v>40</v>
      </c>
      <c r="X9" s="180" t="s">
        <v>39</v>
      </c>
      <c r="Y9" s="181" t="s">
        <v>73</v>
      </c>
      <c r="Z9" s="182" t="s">
        <v>74</v>
      </c>
      <c r="AA9" s="242" t="s">
        <v>75</v>
      </c>
      <c r="AB9" s="243" t="s">
        <v>80</v>
      </c>
      <c r="AC9" s="272" t="s">
        <v>90</v>
      </c>
      <c r="AD9" s="127" t="s">
        <v>5</v>
      </c>
    </row>
    <row r="10" spans="1:32" ht="19.5" customHeight="1" thickTop="1" thickBot="1">
      <c r="A10" s="556" t="s">
        <v>26</v>
      </c>
      <c r="B10" s="423">
        <v>42917</v>
      </c>
      <c r="C10" s="405" t="s">
        <v>16</v>
      </c>
      <c r="D10" s="435" t="s">
        <v>22</v>
      </c>
      <c r="E10" s="263"/>
      <c r="F10" s="496"/>
      <c r="G10" s="557">
        <f>40*120</f>
        <v>4800</v>
      </c>
      <c r="H10" s="496"/>
      <c r="I10" s="403"/>
      <c r="J10" s="552">
        <f>$G10*J5</f>
        <v>2160</v>
      </c>
      <c r="K10" s="552">
        <f>$G10*K5</f>
        <v>1287.8399999999999</v>
      </c>
      <c r="L10" s="552">
        <f>$G10*L5</f>
        <v>1285.92</v>
      </c>
      <c r="M10" s="552">
        <f>$G10*M5</f>
        <v>66.239999999999995</v>
      </c>
      <c r="N10" s="500">
        <f>$F10*N$4</f>
        <v>0</v>
      </c>
      <c r="O10" s="403"/>
      <c r="P10" s="405">
        <f>SUM(E10:H13)</f>
        <v>10080</v>
      </c>
      <c r="Q10" s="477">
        <f>P10*$R$7/$D$5</f>
        <v>23.441860465116278</v>
      </c>
      <c r="R10" s="590">
        <f>Q10/$R$7</f>
        <v>0.97674418604651159</v>
      </c>
      <c r="S10" s="405">
        <f>$D$5-P10</f>
        <v>240</v>
      </c>
      <c r="T10" s="414">
        <f>S10/$D$5</f>
        <v>2.3255813953488372E-2</v>
      </c>
      <c r="U10" s="259"/>
      <c r="V10" s="220"/>
      <c r="W10" s="185"/>
      <c r="X10" s="185"/>
      <c r="Y10" s="185"/>
      <c r="Z10" s="185"/>
      <c r="AA10" s="185"/>
      <c r="AB10" s="185"/>
      <c r="AC10" s="171"/>
      <c r="AD10" s="165"/>
      <c r="AE10" s="177"/>
      <c r="AF10" s="63"/>
    </row>
    <row r="11" spans="1:32" ht="19.5" customHeight="1" thickTop="1">
      <c r="A11" s="556"/>
      <c r="B11" s="424"/>
      <c r="C11" s="426"/>
      <c r="D11" s="436"/>
      <c r="E11" s="263"/>
      <c r="F11" s="497"/>
      <c r="G11" s="558"/>
      <c r="H11" s="497"/>
      <c r="I11" s="403"/>
      <c r="J11" s="553"/>
      <c r="K11" s="553"/>
      <c r="L11" s="553"/>
      <c r="M11" s="553"/>
      <c r="N11" s="501"/>
      <c r="O11" s="403"/>
      <c r="P11" s="406"/>
      <c r="Q11" s="478"/>
      <c r="R11" s="591"/>
      <c r="S11" s="406"/>
      <c r="T11" s="415"/>
      <c r="U11" s="442">
        <f>Q10+Y12</f>
        <v>23.441860465116278</v>
      </c>
      <c r="V11" s="199"/>
      <c r="W11" s="184"/>
      <c r="X11" s="381">
        <v>0.5</v>
      </c>
      <c r="Y11" s="382"/>
      <c r="Z11" s="382"/>
      <c r="AA11" s="382"/>
      <c r="AB11" s="382"/>
      <c r="AC11" s="383"/>
      <c r="AD11" s="194"/>
      <c r="AE11" s="177"/>
      <c r="AF11" s="63"/>
    </row>
    <row r="12" spans="1:32" ht="19.5" customHeight="1">
      <c r="A12" s="556"/>
      <c r="B12" s="424"/>
      <c r="C12" s="420" t="s">
        <v>19</v>
      </c>
      <c r="D12" s="421" t="s">
        <v>17</v>
      </c>
      <c r="E12" s="39"/>
      <c r="F12" s="39"/>
      <c r="G12" s="531">
        <f>44*120</f>
        <v>5280</v>
      </c>
      <c r="H12" s="39"/>
      <c r="I12" s="21"/>
      <c r="J12" s="645">
        <f>G12*J5</f>
        <v>2376</v>
      </c>
      <c r="K12" s="533">
        <f>$G12*K5</f>
        <v>1416.6239999999998</v>
      </c>
      <c r="L12" s="533">
        <f>$G12*L5</f>
        <v>1414.5120000000002</v>
      </c>
      <c r="M12" s="533">
        <f>$G12*M5</f>
        <v>72.864000000000004</v>
      </c>
      <c r="N12" s="559">
        <f>$F12*N$4</f>
        <v>0</v>
      </c>
      <c r="O12" s="21"/>
      <c r="P12" s="406"/>
      <c r="Q12" s="478"/>
      <c r="R12" s="591"/>
      <c r="S12" s="406"/>
      <c r="T12" s="415"/>
      <c r="U12" s="431"/>
      <c r="V12" s="199"/>
      <c r="W12" s="184"/>
      <c r="X12" s="184"/>
      <c r="Y12" s="184"/>
      <c r="Z12" s="184"/>
      <c r="AA12" s="184"/>
      <c r="AB12" s="184"/>
      <c r="AC12" s="169"/>
      <c r="AD12" s="234"/>
      <c r="AE12" s="177"/>
      <c r="AF12" s="63"/>
    </row>
    <row r="13" spans="1:32" ht="19.5" customHeight="1" thickBot="1">
      <c r="A13" s="556"/>
      <c r="B13" s="425"/>
      <c r="C13" s="407"/>
      <c r="D13" s="422"/>
      <c r="E13" s="22"/>
      <c r="F13" s="22"/>
      <c r="G13" s="532"/>
      <c r="H13" s="22"/>
      <c r="I13" s="21"/>
      <c r="J13" s="646"/>
      <c r="K13" s="534">
        <f>$F13*K8</f>
        <v>0</v>
      </c>
      <c r="L13" s="534">
        <f>$F13*L8</f>
        <v>0</v>
      </c>
      <c r="M13" s="534">
        <f>$F13*M8</f>
        <v>0</v>
      </c>
      <c r="N13" s="560"/>
      <c r="O13" s="21"/>
      <c r="P13" s="407"/>
      <c r="Q13" s="479"/>
      <c r="R13" s="451"/>
      <c r="S13" s="407"/>
      <c r="T13" s="416"/>
      <c r="U13" s="432"/>
      <c r="V13" s="201"/>
      <c r="W13" s="197"/>
      <c r="X13" s="197"/>
      <c r="Y13" s="186"/>
      <c r="Z13" s="186"/>
      <c r="AA13" s="186"/>
      <c r="AB13" s="197"/>
      <c r="AC13" s="202"/>
      <c r="AD13" s="167"/>
      <c r="AE13" s="177">
        <f>SUM(V10:AC13)+Q10</f>
        <v>23.941860465116278</v>
      </c>
      <c r="AF13" s="63"/>
    </row>
    <row r="14" spans="1:32" ht="19.5" customHeight="1" thickTop="1" thickBot="1">
      <c r="A14" s="556" t="s">
        <v>28</v>
      </c>
      <c r="B14" s="487">
        <v>42918</v>
      </c>
      <c r="C14" s="452" t="s">
        <v>16</v>
      </c>
      <c r="D14" s="435" t="s">
        <v>22</v>
      </c>
      <c r="E14" s="496"/>
      <c r="F14" s="496"/>
      <c r="G14" s="557">
        <f>37*120</f>
        <v>4440</v>
      </c>
      <c r="H14" s="496"/>
      <c r="I14" s="21"/>
      <c r="J14" s="552">
        <f>$G14*J$5</f>
        <v>1998</v>
      </c>
      <c r="K14" s="552">
        <f t="shared" ref="K14:M14" si="0">$G14*K$5</f>
        <v>1191.252</v>
      </c>
      <c r="L14" s="552">
        <f t="shared" si="0"/>
        <v>1189.4760000000001</v>
      </c>
      <c r="M14" s="552">
        <f t="shared" si="0"/>
        <v>61.271999999999998</v>
      </c>
      <c r="N14" s="500">
        <f>$F14*N$4</f>
        <v>0</v>
      </c>
      <c r="O14" s="21"/>
      <c r="P14" s="405">
        <f>G14</f>
        <v>4440</v>
      </c>
      <c r="Q14" s="477">
        <f>P14*$R$7/$D$5</f>
        <v>10.325581395348838</v>
      </c>
      <c r="R14" s="590">
        <f>Q14/$R$7</f>
        <v>0.43023255813953493</v>
      </c>
      <c r="S14" s="405">
        <f t="shared" ref="S14" si="1">$D$5-P14</f>
        <v>5880</v>
      </c>
      <c r="T14" s="414">
        <f t="shared" ref="T14" si="2">S14/$D$5</f>
        <v>0.56976744186046513</v>
      </c>
      <c r="U14" s="144"/>
      <c r="V14" s="220"/>
      <c r="W14" s="185"/>
      <c r="X14" s="185"/>
      <c r="Y14" s="185"/>
      <c r="Z14" s="185"/>
      <c r="AA14" s="185"/>
      <c r="AB14" s="185"/>
      <c r="AC14" s="171"/>
      <c r="AD14" s="165"/>
      <c r="AE14" s="177"/>
      <c r="AF14" s="63"/>
    </row>
    <row r="15" spans="1:32" ht="19.5" customHeight="1" thickTop="1">
      <c r="A15" s="556"/>
      <c r="B15" s="561"/>
      <c r="C15" s="562"/>
      <c r="D15" s="489"/>
      <c r="E15" s="497"/>
      <c r="F15" s="497"/>
      <c r="G15" s="558"/>
      <c r="H15" s="497"/>
      <c r="I15" s="25"/>
      <c r="J15" s="553"/>
      <c r="K15" s="553"/>
      <c r="L15" s="553"/>
      <c r="M15" s="553"/>
      <c r="N15" s="500"/>
      <c r="O15" s="25"/>
      <c r="P15" s="406"/>
      <c r="Q15" s="478"/>
      <c r="R15" s="591"/>
      <c r="S15" s="406"/>
      <c r="T15" s="415"/>
      <c r="U15" s="45"/>
      <c r="V15" s="199">
        <v>1.75</v>
      </c>
      <c r="W15" s="184"/>
      <c r="X15" s="184"/>
      <c r="Y15" s="184"/>
      <c r="Z15" s="184"/>
      <c r="AA15" s="184"/>
      <c r="AB15" s="184"/>
      <c r="AC15" s="169"/>
      <c r="AD15" s="166"/>
      <c r="AE15" s="177"/>
      <c r="AF15" s="63"/>
    </row>
    <row r="16" spans="1:32" ht="20.25" customHeight="1">
      <c r="A16" s="556"/>
      <c r="B16" s="561"/>
      <c r="C16" s="563" t="s">
        <v>19</v>
      </c>
      <c r="D16" s="640" t="s">
        <v>101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21"/>
      <c r="P16" s="406"/>
      <c r="Q16" s="478"/>
      <c r="R16" s="591"/>
      <c r="S16" s="406"/>
      <c r="T16" s="415"/>
      <c r="U16" s="145"/>
      <c r="V16" s="199"/>
      <c r="W16" s="184"/>
      <c r="X16" s="184"/>
      <c r="Y16" s="184"/>
      <c r="Z16" s="184"/>
      <c r="AA16" s="184"/>
      <c r="AB16" s="184"/>
      <c r="AC16" s="169"/>
      <c r="AD16" s="234"/>
      <c r="AE16" s="177"/>
      <c r="AF16" s="63"/>
    </row>
    <row r="17" spans="1:32" ht="20.25" customHeight="1" thickBot="1">
      <c r="A17" s="556"/>
      <c r="B17" s="488"/>
      <c r="C17" s="453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23"/>
      <c r="P17" s="407"/>
      <c r="Q17" s="479"/>
      <c r="R17" s="451"/>
      <c r="S17" s="407"/>
      <c r="T17" s="416"/>
      <c r="U17" s="47"/>
      <c r="V17" s="201"/>
      <c r="W17" s="197"/>
      <c r="X17" s="197"/>
      <c r="Y17" s="186"/>
      <c r="Z17" s="186"/>
      <c r="AA17" s="186"/>
      <c r="AB17" s="197"/>
      <c r="AC17" s="202"/>
      <c r="AD17" s="167"/>
      <c r="AE17" s="177">
        <f>SUM(V14:AC17)+Q14</f>
        <v>12.075581395348838</v>
      </c>
      <c r="AF17" s="63"/>
    </row>
    <row r="18" spans="1:32" ht="19.5" customHeight="1" thickTop="1">
      <c r="A18" s="556" t="s">
        <v>15</v>
      </c>
      <c r="B18" s="445">
        <v>42919</v>
      </c>
      <c r="C18" s="420" t="s">
        <v>16</v>
      </c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21"/>
      <c r="P18" s="420">
        <f>E20</f>
        <v>0</v>
      </c>
      <c r="Q18" s="477">
        <f>P18*$R$7/$D$5</f>
        <v>0</v>
      </c>
      <c r="R18" s="590">
        <f>Q18/$R$7</f>
        <v>0</v>
      </c>
      <c r="S18" s="405">
        <f t="shared" ref="S18" si="3">$D$5-P18</f>
        <v>10320</v>
      </c>
      <c r="T18" s="414">
        <f t="shared" ref="T18" si="4">S18/$D$5</f>
        <v>1</v>
      </c>
      <c r="U18" s="104"/>
      <c r="V18" s="199"/>
      <c r="W18" s="184"/>
      <c r="X18" s="184"/>
      <c r="Y18" s="184"/>
      <c r="Z18" s="184"/>
      <c r="AA18" s="184"/>
      <c r="AB18" s="184"/>
      <c r="AC18" s="169"/>
      <c r="AD18" s="268"/>
    </row>
    <row r="19" spans="1:32" ht="19.5" customHeight="1">
      <c r="A19" s="556"/>
      <c r="B19" s="424"/>
      <c r="C19" s="426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21"/>
      <c r="P19" s="406"/>
      <c r="Q19" s="478"/>
      <c r="R19" s="591"/>
      <c r="S19" s="406"/>
      <c r="T19" s="415"/>
      <c r="U19" s="430">
        <f>Q18+Y21</f>
        <v>0</v>
      </c>
      <c r="V19" s="199"/>
      <c r="W19" s="184"/>
      <c r="X19" s="184"/>
      <c r="Y19" s="184"/>
      <c r="Z19" s="184"/>
      <c r="AA19" s="184"/>
      <c r="AB19" s="184"/>
      <c r="AC19" s="169"/>
      <c r="AD19" s="268"/>
    </row>
    <row r="20" spans="1:32" ht="19.5" customHeight="1">
      <c r="A20" s="556"/>
      <c r="B20" s="424"/>
      <c r="C20" s="420" t="s">
        <v>19</v>
      </c>
      <c r="D20" s="623" t="s">
        <v>93</v>
      </c>
      <c r="E20" s="38"/>
      <c r="F20" s="583">
        <v>0</v>
      </c>
      <c r="G20" s="39"/>
      <c r="H20" s="39"/>
      <c r="I20" s="21"/>
      <c r="J20" s="434">
        <f>$F20*J$4</f>
        <v>0</v>
      </c>
      <c r="K20" s="434">
        <f t="shared" ref="K20:N20" si="5">$F20*K$4</f>
        <v>0</v>
      </c>
      <c r="L20" s="434">
        <f t="shared" si="5"/>
        <v>0</v>
      </c>
      <c r="M20" s="434">
        <f t="shared" si="5"/>
        <v>0</v>
      </c>
      <c r="N20" s="434">
        <f t="shared" si="5"/>
        <v>0</v>
      </c>
      <c r="O20" s="21"/>
      <c r="P20" s="406"/>
      <c r="Q20" s="478"/>
      <c r="R20" s="591"/>
      <c r="S20" s="406"/>
      <c r="T20" s="415"/>
      <c r="U20" s="431"/>
      <c r="V20" s="199"/>
      <c r="W20" s="184"/>
      <c r="X20" s="184"/>
      <c r="Y20" s="215"/>
      <c r="Z20" s="184"/>
      <c r="AA20" s="184"/>
      <c r="AB20" s="270">
        <v>12</v>
      </c>
      <c r="AC20" s="251"/>
      <c r="AD20" s="312" t="s">
        <v>97</v>
      </c>
    </row>
    <row r="21" spans="1:32" ht="19.5" customHeight="1" thickBot="1">
      <c r="A21" s="556"/>
      <c r="B21" s="425"/>
      <c r="C21" s="407"/>
      <c r="D21" s="616"/>
      <c r="E21" s="38"/>
      <c r="F21" s="618"/>
      <c r="G21" s="39"/>
      <c r="H21" s="39"/>
      <c r="I21" s="21"/>
      <c r="J21" s="622"/>
      <c r="K21" s="622"/>
      <c r="L21" s="622"/>
      <c r="M21" s="622"/>
      <c r="N21" s="622"/>
      <c r="O21" s="23"/>
      <c r="P21" s="407"/>
      <c r="Q21" s="479"/>
      <c r="R21" s="451"/>
      <c r="S21" s="407"/>
      <c r="T21" s="416"/>
      <c r="U21" s="432"/>
      <c r="V21" s="201"/>
      <c r="W21" s="197"/>
      <c r="X21" s="197"/>
      <c r="Y21" s="197"/>
      <c r="Z21" s="197"/>
      <c r="AA21" s="197"/>
      <c r="AB21" s="197"/>
      <c r="AC21" s="271"/>
      <c r="AD21" s="238"/>
      <c r="AE21" s="177">
        <f>SUM(V18:AC21)+Q18</f>
        <v>12</v>
      </c>
      <c r="AF21" s="63"/>
    </row>
    <row r="22" spans="1:32" ht="19.5" customHeight="1" thickTop="1">
      <c r="A22" s="556" t="s">
        <v>21</v>
      </c>
      <c r="B22" s="423">
        <v>42920</v>
      </c>
      <c r="C22" s="405" t="s">
        <v>16</v>
      </c>
      <c r="D22" s="619" t="s">
        <v>94</v>
      </c>
      <c r="E22" s="496"/>
      <c r="F22" s="582">
        <v>0</v>
      </c>
      <c r="G22" s="496"/>
      <c r="H22" s="397"/>
      <c r="I22" s="402"/>
      <c r="J22" s="574">
        <f>$F22*J12</f>
        <v>0</v>
      </c>
      <c r="K22" s="574">
        <f t="shared" ref="K22:N22" si="6">$F22*K12</f>
        <v>0</v>
      </c>
      <c r="L22" s="574">
        <f t="shared" si="6"/>
        <v>0</v>
      </c>
      <c r="M22" s="574">
        <f t="shared" si="6"/>
        <v>0</v>
      </c>
      <c r="N22" s="574">
        <f t="shared" si="6"/>
        <v>0</v>
      </c>
      <c r="O22" s="402"/>
      <c r="P22" s="405">
        <f>SUM(E22:H25)</f>
        <v>1440</v>
      </c>
      <c r="Q22" s="477">
        <f>P22*$R$7/$D$5</f>
        <v>3.3488372093023258</v>
      </c>
      <c r="R22" s="590">
        <f>Q22/$R$7</f>
        <v>0.13953488372093023</v>
      </c>
      <c r="S22" s="405">
        <f t="shared" ref="S22" si="7">$D$5-P22</f>
        <v>8880</v>
      </c>
      <c r="T22" s="414">
        <f t="shared" ref="T22" si="8">S22/$D$5</f>
        <v>0.86046511627906974</v>
      </c>
      <c r="U22" s="320"/>
      <c r="V22" s="266">
        <v>2</v>
      </c>
      <c r="W22" s="204"/>
      <c r="X22" s="204"/>
      <c r="Y22" s="204"/>
      <c r="Z22" s="204"/>
      <c r="AA22" s="204"/>
      <c r="AB22" s="204"/>
      <c r="AC22" s="205"/>
      <c r="AD22" s="102" t="s">
        <v>71</v>
      </c>
      <c r="AE22" s="269"/>
      <c r="AF22" s="63"/>
    </row>
    <row r="23" spans="1:32" ht="19.5" customHeight="1">
      <c r="A23" s="556"/>
      <c r="B23" s="424"/>
      <c r="C23" s="426"/>
      <c r="D23" s="620"/>
      <c r="E23" s="497"/>
      <c r="F23" s="621"/>
      <c r="G23" s="497"/>
      <c r="H23" s="398"/>
      <c r="I23" s="403"/>
      <c r="J23" s="434"/>
      <c r="K23" s="434"/>
      <c r="L23" s="434"/>
      <c r="M23" s="434"/>
      <c r="N23" s="434"/>
      <c r="O23" s="403"/>
      <c r="P23" s="406"/>
      <c r="Q23" s="478"/>
      <c r="R23" s="591"/>
      <c r="S23" s="406"/>
      <c r="T23" s="415"/>
      <c r="U23" s="430">
        <f>Q22+Y23+Y25</f>
        <v>3.3488372093023258</v>
      </c>
      <c r="V23" s="199"/>
      <c r="W23" s="184"/>
      <c r="X23" s="184"/>
      <c r="Y23" s="184"/>
      <c r="Z23" s="184"/>
      <c r="AA23" s="184"/>
      <c r="AB23" s="184"/>
      <c r="AC23" s="169"/>
      <c r="AD23" s="305"/>
      <c r="AE23" s="269"/>
      <c r="AF23" s="63"/>
    </row>
    <row r="24" spans="1:32" ht="19.5" customHeight="1">
      <c r="A24" s="556"/>
      <c r="B24" s="424"/>
      <c r="C24" s="420" t="s">
        <v>19</v>
      </c>
      <c r="D24" s="615" t="s">
        <v>93</v>
      </c>
      <c r="E24" s="495"/>
      <c r="F24" s="583">
        <f>12*120</f>
        <v>1440</v>
      </c>
      <c r="G24" s="39"/>
      <c r="H24" s="27"/>
      <c r="I24" s="403"/>
      <c r="J24" s="433">
        <f>$F24*J$4</f>
        <v>648</v>
      </c>
      <c r="K24" s="433">
        <f t="shared" ref="K24:N24" si="9">$F24*K$4</f>
        <v>386.35199999999998</v>
      </c>
      <c r="L24" s="433">
        <f t="shared" si="9"/>
        <v>385.77600000000007</v>
      </c>
      <c r="M24" s="433">
        <f t="shared" si="9"/>
        <v>19.872</v>
      </c>
      <c r="N24" s="433">
        <f t="shared" si="9"/>
        <v>10.656000000000001</v>
      </c>
      <c r="O24" s="403"/>
      <c r="P24" s="406"/>
      <c r="Q24" s="478"/>
      <c r="R24" s="591"/>
      <c r="S24" s="406"/>
      <c r="T24" s="415"/>
      <c r="U24" s="431"/>
      <c r="V24" s="199"/>
      <c r="W24" s="184"/>
      <c r="X24" s="184"/>
      <c r="Y24" s="215"/>
      <c r="Z24" s="184"/>
      <c r="AA24" s="184"/>
      <c r="AB24" s="313">
        <v>18.75</v>
      </c>
      <c r="AC24" s="251"/>
      <c r="AD24" s="312" t="s">
        <v>97</v>
      </c>
      <c r="AE24" s="269"/>
      <c r="AF24" s="63"/>
    </row>
    <row r="25" spans="1:32" ht="19.5" customHeight="1" thickBot="1">
      <c r="A25" s="556"/>
      <c r="B25" s="425"/>
      <c r="C25" s="407"/>
      <c r="D25" s="616"/>
      <c r="E25" s="612"/>
      <c r="F25" s="618"/>
      <c r="G25" s="22"/>
      <c r="H25" s="22"/>
      <c r="I25" s="404"/>
      <c r="J25" s="622"/>
      <c r="K25" s="622"/>
      <c r="L25" s="622"/>
      <c r="M25" s="622"/>
      <c r="N25" s="622"/>
      <c r="O25" s="404"/>
      <c r="P25" s="407"/>
      <c r="Q25" s="479"/>
      <c r="R25" s="451"/>
      <c r="S25" s="407"/>
      <c r="T25" s="416"/>
      <c r="U25" s="432"/>
      <c r="V25" s="201"/>
      <c r="W25" s="197"/>
      <c r="X25" s="197"/>
      <c r="Y25" s="197"/>
      <c r="Z25" s="197"/>
      <c r="AA25" s="197"/>
      <c r="AB25" s="197"/>
      <c r="AC25" s="271"/>
      <c r="AD25" s="233"/>
      <c r="AE25" s="177">
        <f>SUM(V22:AC25)+Q22</f>
        <v>24.098837209302324</v>
      </c>
      <c r="AF25" s="63"/>
    </row>
    <row r="26" spans="1:32" ht="18" customHeight="1" thickTop="1" thickBot="1">
      <c r="A26" s="556" t="s">
        <v>23</v>
      </c>
      <c r="B26" s="423">
        <v>42921</v>
      </c>
      <c r="C26" s="405" t="s">
        <v>16</v>
      </c>
      <c r="D26" s="619" t="s">
        <v>94</v>
      </c>
      <c r="E26" s="496"/>
      <c r="F26" s="582">
        <f>46*120</f>
        <v>5520</v>
      </c>
      <c r="G26" s="496"/>
      <c r="H26" s="397"/>
      <c r="I26" s="402"/>
      <c r="J26" s="574">
        <f>$F26*J$4</f>
        <v>2484</v>
      </c>
      <c r="K26" s="574">
        <f t="shared" ref="K26:N26" si="10">$F26*K$4</f>
        <v>1481.0159999999998</v>
      </c>
      <c r="L26" s="574">
        <f t="shared" si="10"/>
        <v>1478.8080000000002</v>
      </c>
      <c r="M26" s="574">
        <f t="shared" si="10"/>
        <v>76.176000000000002</v>
      </c>
      <c r="N26" s="574">
        <f t="shared" si="10"/>
        <v>40.847999999999999</v>
      </c>
      <c r="O26" s="402"/>
      <c r="P26" s="405">
        <f>SUM(E26:H29)</f>
        <v>10320</v>
      </c>
      <c r="Q26" s="477">
        <f>P26*$R$7/$D$5</f>
        <v>24</v>
      </c>
      <c r="R26" s="411">
        <f>Q26/$R$7</f>
        <v>1</v>
      </c>
      <c r="S26" s="405">
        <f t="shared" ref="S26" si="11">$D$5-P26</f>
        <v>0</v>
      </c>
      <c r="T26" s="414">
        <f t="shared" ref="T26" si="12">S26/$D$5</f>
        <v>0</v>
      </c>
      <c r="U26" s="320"/>
      <c r="V26" s="220"/>
      <c r="W26" s="185"/>
      <c r="X26" s="185"/>
      <c r="Y26" s="185"/>
      <c r="Z26" s="185"/>
      <c r="AA26" s="185"/>
      <c r="AB26" s="185"/>
      <c r="AC26" s="171"/>
      <c r="AD26" s="306"/>
      <c r="AE26" s="269"/>
      <c r="AF26" s="63"/>
    </row>
    <row r="27" spans="1:32" ht="18" customHeight="1" thickTop="1">
      <c r="A27" s="556"/>
      <c r="B27" s="424"/>
      <c r="C27" s="426"/>
      <c r="D27" s="620"/>
      <c r="E27" s="497"/>
      <c r="F27" s="621"/>
      <c r="G27" s="497"/>
      <c r="H27" s="398"/>
      <c r="I27" s="403"/>
      <c r="J27" s="434"/>
      <c r="K27" s="434"/>
      <c r="L27" s="434"/>
      <c r="M27" s="434"/>
      <c r="N27" s="434"/>
      <c r="O27" s="403"/>
      <c r="P27" s="406"/>
      <c r="Q27" s="478"/>
      <c r="R27" s="412"/>
      <c r="S27" s="406"/>
      <c r="T27" s="415"/>
      <c r="U27" s="417"/>
      <c r="V27" s="199"/>
      <c r="W27" s="184"/>
      <c r="X27" s="184"/>
      <c r="Y27" s="184"/>
      <c r="Z27" s="184"/>
      <c r="AA27" s="184"/>
      <c r="AB27" s="184"/>
      <c r="AC27" s="169"/>
      <c r="AD27" s="305"/>
      <c r="AE27" s="269"/>
      <c r="AF27" s="63"/>
    </row>
    <row r="28" spans="1:32" ht="18" customHeight="1">
      <c r="A28" s="556"/>
      <c r="B28" s="424"/>
      <c r="C28" s="420" t="s">
        <v>19</v>
      </c>
      <c r="D28" s="615" t="s">
        <v>93</v>
      </c>
      <c r="E28" s="495"/>
      <c r="F28" s="583">
        <f>40*120</f>
        <v>4800</v>
      </c>
      <c r="G28" s="39"/>
      <c r="H28" s="27"/>
      <c r="I28" s="403"/>
      <c r="J28" s="433">
        <f>$F28*J$4</f>
        <v>2160</v>
      </c>
      <c r="K28" s="433">
        <f t="shared" ref="K28:N28" si="13">$F28*K$4</f>
        <v>1287.8399999999999</v>
      </c>
      <c r="L28" s="433">
        <f t="shared" si="13"/>
        <v>1285.92</v>
      </c>
      <c r="M28" s="433">
        <f t="shared" si="13"/>
        <v>66.239999999999995</v>
      </c>
      <c r="N28" s="433">
        <f t="shared" si="13"/>
        <v>35.520000000000003</v>
      </c>
      <c r="O28" s="403"/>
      <c r="P28" s="406"/>
      <c r="Q28" s="478"/>
      <c r="R28" s="412"/>
      <c r="S28" s="406"/>
      <c r="T28" s="415"/>
      <c r="U28" s="418"/>
      <c r="V28" s="199"/>
      <c r="W28" s="184"/>
      <c r="X28" s="184"/>
      <c r="Y28" s="184"/>
      <c r="Z28" s="184"/>
      <c r="AA28" s="184"/>
      <c r="AB28" s="184"/>
      <c r="AC28" s="169"/>
      <c r="AD28" s="305"/>
      <c r="AE28" s="269"/>
      <c r="AF28" s="63"/>
    </row>
    <row r="29" spans="1:32" ht="18" customHeight="1" thickBot="1">
      <c r="A29" s="556"/>
      <c r="B29" s="425"/>
      <c r="C29" s="407"/>
      <c r="D29" s="616"/>
      <c r="E29" s="612"/>
      <c r="F29" s="618"/>
      <c r="G29" s="22"/>
      <c r="H29" s="22"/>
      <c r="I29" s="404"/>
      <c r="J29" s="622"/>
      <c r="K29" s="622"/>
      <c r="L29" s="622"/>
      <c r="M29" s="622"/>
      <c r="N29" s="622"/>
      <c r="O29" s="404"/>
      <c r="P29" s="407"/>
      <c r="Q29" s="479"/>
      <c r="R29" s="413"/>
      <c r="S29" s="407"/>
      <c r="T29" s="416"/>
      <c r="U29" s="419"/>
      <c r="V29" s="201"/>
      <c r="W29" s="197"/>
      <c r="X29" s="197"/>
      <c r="Y29" s="186"/>
      <c r="Z29" s="186"/>
      <c r="AA29" s="186"/>
      <c r="AB29" s="197"/>
      <c r="AC29" s="202"/>
      <c r="AD29" s="167"/>
      <c r="AE29" s="177">
        <f>SUM(V26:AC29)+Q26</f>
        <v>24</v>
      </c>
      <c r="AF29" s="63"/>
    </row>
    <row r="30" spans="1:32" ht="18" customHeight="1" thickTop="1" thickBot="1">
      <c r="A30" s="556" t="s">
        <v>24</v>
      </c>
      <c r="B30" s="423">
        <v>42922</v>
      </c>
      <c r="C30" s="405" t="s">
        <v>16</v>
      </c>
      <c r="D30" s="619" t="s">
        <v>94</v>
      </c>
      <c r="E30" s="496"/>
      <c r="F30" s="582">
        <f>47*120</f>
        <v>5640</v>
      </c>
      <c r="G30" s="496"/>
      <c r="H30" s="397"/>
      <c r="I30" s="402"/>
      <c r="J30" s="574">
        <f>$F30*J$4</f>
        <v>2538</v>
      </c>
      <c r="K30" s="574">
        <f t="shared" ref="K30:N30" si="14">$F30*K$4</f>
        <v>1513.212</v>
      </c>
      <c r="L30" s="574">
        <f t="shared" si="14"/>
        <v>1510.9560000000001</v>
      </c>
      <c r="M30" s="574">
        <f t="shared" si="14"/>
        <v>77.831999999999994</v>
      </c>
      <c r="N30" s="574">
        <f t="shared" si="14"/>
        <v>41.736000000000004</v>
      </c>
      <c r="O30" s="402"/>
      <c r="P30" s="405">
        <f>SUM(E30:H33)</f>
        <v>10920</v>
      </c>
      <c r="Q30" s="477">
        <f>P30*$R$7/$D$5</f>
        <v>25.395348837209301</v>
      </c>
      <c r="R30" s="411">
        <f>Q30/$R$7</f>
        <v>1.0581395348837208</v>
      </c>
      <c r="S30" s="405">
        <f t="shared" ref="S30" si="15">$D$5-P30</f>
        <v>-600</v>
      </c>
      <c r="T30" s="414">
        <f t="shared" ref="T30" si="16">S30/$D$5</f>
        <v>-5.8139534883720929E-2</v>
      </c>
      <c r="U30" s="324"/>
      <c r="V30" s="220"/>
      <c r="W30" s="185"/>
      <c r="X30" s="185"/>
      <c r="Y30" s="185"/>
      <c r="Z30" s="185"/>
      <c r="AA30" s="185"/>
      <c r="AB30" s="185"/>
      <c r="AC30" s="171"/>
      <c r="AD30" s="165"/>
      <c r="AE30" s="269"/>
      <c r="AF30" s="63"/>
    </row>
    <row r="31" spans="1:32" ht="18" customHeight="1" thickTop="1">
      <c r="A31" s="556"/>
      <c r="B31" s="506"/>
      <c r="C31" s="426"/>
      <c r="D31" s="620"/>
      <c r="E31" s="497"/>
      <c r="F31" s="621"/>
      <c r="G31" s="497"/>
      <c r="H31" s="398"/>
      <c r="I31" s="403"/>
      <c r="J31" s="434"/>
      <c r="K31" s="434"/>
      <c r="L31" s="434"/>
      <c r="M31" s="434"/>
      <c r="N31" s="434"/>
      <c r="O31" s="403"/>
      <c r="P31" s="406"/>
      <c r="Q31" s="478"/>
      <c r="R31" s="412"/>
      <c r="S31" s="406"/>
      <c r="T31" s="415"/>
      <c r="U31" s="460">
        <f>Q30+Y31+Y33</f>
        <v>25.395348837209301</v>
      </c>
      <c r="V31" s="199"/>
      <c r="W31" s="184"/>
      <c r="X31" s="184"/>
      <c r="Y31" s="184"/>
      <c r="Z31" s="184"/>
      <c r="AA31" s="184"/>
      <c r="AB31" s="184"/>
      <c r="AC31" s="169"/>
      <c r="AD31" s="166"/>
      <c r="AE31" s="269"/>
      <c r="AF31" s="63"/>
    </row>
    <row r="32" spans="1:32" ht="18" customHeight="1">
      <c r="A32" s="556"/>
      <c r="B32" s="506"/>
      <c r="C32" s="420" t="s">
        <v>19</v>
      </c>
      <c r="D32" s="615" t="s">
        <v>93</v>
      </c>
      <c r="E32" s="495"/>
      <c r="F32" s="583">
        <f>44*120</f>
        <v>5280</v>
      </c>
      <c r="G32" s="39"/>
      <c r="H32" s="27"/>
      <c r="I32" s="403"/>
      <c r="J32" s="433">
        <f>$F32*J$4</f>
        <v>2376</v>
      </c>
      <c r="K32" s="433">
        <f t="shared" ref="K32:N32" si="17">$F32*K$4</f>
        <v>1416.6239999999998</v>
      </c>
      <c r="L32" s="433">
        <f t="shared" si="17"/>
        <v>1414.5120000000002</v>
      </c>
      <c r="M32" s="433">
        <f t="shared" si="17"/>
        <v>72.864000000000004</v>
      </c>
      <c r="N32" s="433">
        <f t="shared" si="17"/>
        <v>39.072000000000003</v>
      </c>
      <c r="O32" s="403"/>
      <c r="P32" s="406"/>
      <c r="Q32" s="478"/>
      <c r="R32" s="412"/>
      <c r="S32" s="406"/>
      <c r="T32" s="415"/>
      <c r="U32" s="461"/>
      <c r="V32" s="199"/>
      <c r="W32" s="184"/>
      <c r="X32" s="184"/>
      <c r="Y32" s="184"/>
      <c r="Z32" s="184"/>
      <c r="AA32" s="184"/>
      <c r="AB32" s="184"/>
      <c r="AC32" s="169"/>
      <c r="AD32" s="166"/>
      <c r="AE32" s="269"/>
      <c r="AF32" s="63"/>
    </row>
    <row r="33" spans="1:32" ht="18" customHeight="1" thickBot="1">
      <c r="A33" s="556"/>
      <c r="B33" s="506"/>
      <c r="C33" s="506"/>
      <c r="D33" s="616"/>
      <c r="E33" s="612"/>
      <c r="F33" s="618"/>
      <c r="G33" s="22"/>
      <c r="H33" s="22"/>
      <c r="I33" s="404"/>
      <c r="J33" s="622"/>
      <c r="K33" s="622"/>
      <c r="L33" s="622"/>
      <c r="M33" s="622"/>
      <c r="N33" s="622"/>
      <c r="O33" s="404"/>
      <c r="P33" s="406"/>
      <c r="Q33" s="479"/>
      <c r="R33" s="413"/>
      <c r="S33" s="407"/>
      <c r="T33" s="416"/>
      <c r="U33" s="461"/>
      <c r="V33" s="201"/>
      <c r="W33" s="197"/>
      <c r="X33" s="197"/>
      <c r="Y33" s="186"/>
      <c r="Z33" s="186"/>
      <c r="AA33" s="186"/>
      <c r="AB33" s="197"/>
      <c r="AC33" s="307"/>
      <c r="AD33" s="308"/>
      <c r="AE33" s="177">
        <f>SUM(V30:AC33)+Q30</f>
        <v>25.395348837209301</v>
      </c>
      <c r="AF33" s="63"/>
    </row>
    <row r="34" spans="1:32" ht="18" customHeight="1" thickTop="1" thickBot="1">
      <c r="A34" s="556" t="s">
        <v>25</v>
      </c>
      <c r="B34" s="423">
        <v>42923</v>
      </c>
      <c r="C34" s="405" t="s">
        <v>16</v>
      </c>
      <c r="D34" s="619" t="s">
        <v>94</v>
      </c>
      <c r="E34" s="496"/>
      <c r="F34" s="582">
        <f>46*120</f>
        <v>5520</v>
      </c>
      <c r="G34" s="496"/>
      <c r="H34" s="496"/>
      <c r="I34" s="21"/>
      <c r="J34" s="574">
        <f>$F34*J$4</f>
        <v>2484</v>
      </c>
      <c r="K34" s="574">
        <f t="shared" ref="K34:N34" si="18">$F34*K$4</f>
        <v>1481.0159999999998</v>
      </c>
      <c r="L34" s="574">
        <f t="shared" si="18"/>
        <v>1478.8080000000002</v>
      </c>
      <c r="M34" s="574">
        <f t="shared" si="18"/>
        <v>76.176000000000002</v>
      </c>
      <c r="N34" s="574">
        <f t="shared" si="18"/>
        <v>40.847999999999999</v>
      </c>
      <c r="O34" s="21"/>
      <c r="P34" s="405">
        <f>SUM(E34:H37)</f>
        <v>8760</v>
      </c>
      <c r="Q34" s="477">
        <f>P34*$R$7/$D$5</f>
        <v>20.372093023255815</v>
      </c>
      <c r="R34" s="590">
        <f>Q34/$R$7</f>
        <v>0.84883720930232565</v>
      </c>
      <c r="S34" s="405">
        <f t="shared" ref="S34" si="19">$D$5-P34</f>
        <v>1560</v>
      </c>
      <c r="T34" s="414">
        <f t="shared" ref="T34" si="20">S34/$D$5</f>
        <v>0.15116279069767441</v>
      </c>
      <c r="U34" s="321"/>
      <c r="V34" s="220"/>
      <c r="W34" s="185"/>
      <c r="X34" s="185"/>
      <c r="Y34" s="185"/>
      <c r="Z34" s="185"/>
      <c r="AA34" s="185"/>
      <c r="AB34" s="185"/>
      <c r="AC34" s="171"/>
      <c r="AD34" s="165"/>
      <c r="AE34" s="269"/>
      <c r="AF34" s="63"/>
    </row>
    <row r="35" spans="1:32" ht="18" customHeight="1" thickTop="1" thickBot="1">
      <c r="A35" s="556"/>
      <c r="B35" s="424"/>
      <c r="C35" s="426"/>
      <c r="D35" s="620"/>
      <c r="E35" s="497"/>
      <c r="F35" s="621"/>
      <c r="G35" s="497"/>
      <c r="H35" s="497"/>
      <c r="I35" s="21"/>
      <c r="J35" s="434"/>
      <c r="K35" s="434"/>
      <c r="L35" s="434"/>
      <c r="M35" s="434"/>
      <c r="N35" s="434"/>
      <c r="O35" s="21"/>
      <c r="P35" s="406"/>
      <c r="Q35" s="478"/>
      <c r="R35" s="591"/>
      <c r="S35" s="406"/>
      <c r="T35" s="415"/>
      <c r="U35" s="442">
        <f>Y35+Y37+Q34</f>
        <v>20.372093023255815</v>
      </c>
      <c r="V35" s="199"/>
      <c r="W35" s="184"/>
      <c r="X35" s="184"/>
      <c r="Y35" s="184"/>
      <c r="Z35" s="317">
        <v>3.5</v>
      </c>
      <c r="AA35" s="314"/>
      <c r="AB35" s="314"/>
      <c r="AC35" s="315"/>
      <c r="AD35" s="316" t="s">
        <v>98</v>
      </c>
      <c r="AE35" s="269"/>
      <c r="AF35" s="63"/>
    </row>
    <row r="36" spans="1:32" ht="18" customHeight="1" thickTop="1">
      <c r="A36" s="556"/>
      <c r="B36" s="424"/>
      <c r="C36" s="420" t="s">
        <v>19</v>
      </c>
      <c r="D36" s="615" t="s">
        <v>93</v>
      </c>
      <c r="E36" s="334"/>
      <c r="F36" s="617">
        <f>27*120</f>
        <v>3240</v>
      </c>
      <c r="G36" s="39"/>
      <c r="H36" s="39"/>
      <c r="I36" s="21"/>
      <c r="J36" s="574">
        <f>$F36*J$4</f>
        <v>1458</v>
      </c>
      <c r="K36" s="574">
        <f t="shared" ref="K36:N36" si="21">$F36*K$4</f>
        <v>869.29199999999992</v>
      </c>
      <c r="L36" s="574">
        <f t="shared" si="21"/>
        <v>867.99600000000009</v>
      </c>
      <c r="M36" s="574">
        <f t="shared" si="21"/>
        <v>44.711999999999996</v>
      </c>
      <c r="N36" s="574">
        <f t="shared" si="21"/>
        <v>23.976000000000003</v>
      </c>
      <c r="O36" s="21"/>
      <c r="P36" s="406"/>
      <c r="Q36" s="478"/>
      <c r="R36" s="591"/>
      <c r="S36" s="406"/>
      <c r="T36" s="415"/>
      <c r="U36" s="406"/>
      <c r="V36" s="199"/>
      <c r="W36" s="184"/>
      <c r="X36" s="184"/>
      <c r="Y36" s="184"/>
      <c r="Z36" s="184"/>
      <c r="AA36" s="184"/>
      <c r="AB36" s="184"/>
      <c r="AC36" s="169"/>
      <c r="AD36" s="234"/>
      <c r="AE36" s="269"/>
      <c r="AF36" s="63"/>
    </row>
    <row r="37" spans="1:32" ht="18" customHeight="1" thickBot="1">
      <c r="A37" s="556"/>
      <c r="B37" s="425"/>
      <c r="C37" s="407"/>
      <c r="D37" s="616"/>
      <c r="E37" s="245"/>
      <c r="F37" s="618"/>
      <c r="G37" s="22"/>
      <c r="H37" s="22"/>
      <c r="I37" s="23"/>
      <c r="J37" s="434"/>
      <c r="K37" s="434"/>
      <c r="L37" s="434"/>
      <c r="M37" s="434"/>
      <c r="N37" s="434"/>
      <c r="O37" s="23"/>
      <c r="P37" s="407"/>
      <c r="Q37" s="479"/>
      <c r="R37" s="451"/>
      <c r="S37" s="407"/>
      <c r="T37" s="416"/>
      <c r="U37" s="407"/>
      <c r="V37" s="201"/>
      <c r="W37" s="197"/>
      <c r="X37" s="197"/>
      <c r="Y37" s="186"/>
      <c r="Z37" s="186"/>
      <c r="AA37" s="186"/>
      <c r="AB37" s="197"/>
      <c r="AC37" s="202"/>
      <c r="AD37" s="167"/>
      <c r="AE37" s="177">
        <f>SUM(V34:AC37)+Q34</f>
        <v>23.872093023255815</v>
      </c>
      <c r="AF37" s="63"/>
    </row>
    <row r="38" spans="1:32" ht="19.5" customHeight="1" thickTop="1" thickBot="1">
      <c r="A38" s="556" t="s">
        <v>26</v>
      </c>
      <c r="B38" s="423">
        <v>42924</v>
      </c>
      <c r="C38" s="405" t="s">
        <v>16</v>
      </c>
      <c r="D38" s="619" t="s">
        <v>94</v>
      </c>
      <c r="E38" s="329"/>
      <c r="F38" s="494">
        <v>0</v>
      </c>
      <c r="G38" s="496"/>
      <c r="H38" s="496"/>
      <c r="I38" s="402"/>
      <c r="J38" s="632">
        <f>$F38*J12</f>
        <v>0</v>
      </c>
      <c r="K38" s="632">
        <f t="shared" ref="K38:N38" si="22">$F38*K12</f>
        <v>0</v>
      </c>
      <c r="L38" s="632">
        <f t="shared" si="22"/>
        <v>0</v>
      </c>
      <c r="M38" s="632">
        <f t="shared" si="22"/>
        <v>0</v>
      </c>
      <c r="N38" s="632">
        <f t="shared" si="22"/>
        <v>0</v>
      </c>
      <c r="O38" s="403"/>
      <c r="P38" s="405">
        <f>SUM(E38:H41)</f>
        <v>0</v>
      </c>
      <c r="Q38" s="477">
        <f>P38*$R$7/$D$5</f>
        <v>0</v>
      </c>
      <c r="R38" s="590">
        <f>Q38/$R$7</f>
        <v>0</v>
      </c>
      <c r="S38" s="405">
        <f t="shared" ref="S38" si="23">$D$5-P38</f>
        <v>10320</v>
      </c>
      <c r="T38" s="414">
        <f t="shared" ref="T38" si="24">S38/$D$5</f>
        <v>1</v>
      </c>
      <c r="U38" s="322"/>
      <c r="V38" s="220"/>
      <c r="W38" s="185"/>
      <c r="X38" s="185"/>
      <c r="Y38" s="185"/>
      <c r="Z38" s="185"/>
      <c r="AA38" s="185"/>
      <c r="AB38" s="185"/>
      <c r="AC38" s="171"/>
      <c r="AD38" s="165"/>
      <c r="AE38" s="269"/>
      <c r="AF38" s="63"/>
    </row>
    <row r="39" spans="1:32" ht="19.5" customHeight="1" thickTop="1">
      <c r="A39" s="556"/>
      <c r="B39" s="424"/>
      <c r="C39" s="426"/>
      <c r="D39" s="620"/>
      <c r="E39" s="329"/>
      <c r="F39" s="528"/>
      <c r="G39" s="497"/>
      <c r="H39" s="497"/>
      <c r="I39" s="403"/>
      <c r="J39" s="500"/>
      <c r="K39" s="500"/>
      <c r="L39" s="500"/>
      <c r="M39" s="500"/>
      <c r="N39" s="500"/>
      <c r="O39" s="403"/>
      <c r="P39" s="406"/>
      <c r="Q39" s="478"/>
      <c r="R39" s="591"/>
      <c r="S39" s="406"/>
      <c r="T39" s="415"/>
      <c r="U39" s="442">
        <f>Q38+Y40</f>
        <v>0</v>
      </c>
      <c r="V39" s="199"/>
      <c r="W39" s="184"/>
      <c r="X39" s="215"/>
      <c r="Y39" s="184"/>
      <c r="Z39" s="314">
        <v>24</v>
      </c>
      <c r="AA39" s="314"/>
      <c r="AB39" s="314"/>
      <c r="AC39" s="315"/>
      <c r="AD39" s="316" t="s">
        <v>98</v>
      </c>
      <c r="AE39" s="269"/>
      <c r="AF39" s="63"/>
    </row>
    <row r="40" spans="1:32" ht="19.5" customHeight="1">
      <c r="A40" s="556"/>
      <c r="B40" s="424"/>
      <c r="C40" s="420" t="s">
        <v>19</v>
      </c>
      <c r="D40" s="615" t="s">
        <v>93</v>
      </c>
      <c r="E40" s="495"/>
      <c r="F40" s="497">
        <v>0</v>
      </c>
      <c r="G40" s="39"/>
      <c r="H40" s="39"/>
      <c r="I40" s="403"/>
      <c r="J40" s="559">
        <f>$F40*J$4</f>
        <v>0</v>
      </c>
      <c r="K40" s="559">
        <f t="shared" ref="K40:N40" si="25">$F40*K$4</f>
        <v>0</v>
      </c>
      <c r="L40" s="559">
        <f t="shared" si="25"/>
        <v>0</v>
      </c>
      <c r="M40" s="559">
        <f t="shared" si="25"/>
        <v>0</v>
      </c>
      <c r="N40" s="559">
        <f t="shared" si="25"/>
        <v>0</v>
      </c>
      <c r="O40" s="21"/>
      <c r="P40" s="406"/>
      <c r="Q40" s="478"/>
      <c r="R40" s="591"/>
      <c r="S40" s="406"/>
      <c r="T40" s="415"/>
      <c r="U40" s="431"/>
      <c r="V40" s="199"/>
      <c r="W40" s="184"/>
      <c r="X40" s="184"/>
      <c r="Y40" s="184"/>
      <c r="Z40" s="184"/>
      <c r="AA40" s="184"/>
      <c r="AB40" s="184"/>
      <c r="AC40" s="169"/>
      <c r="AD40" s="234"/>
      <c r="AE40" s="269"/>
      <c r="AF40" s="63"/>
    </row>
    <row r="41" spans="1:32" ht="19.5" customHeight="1" thickBot="1">
      <c r="A41" s="556"/>
      <c r="B41" s="425"/>
      <c r="C41" s="407"/>
      <c r="D41" s="616"/>
      <c r="E41" s="612"/>
      <c r="F41" s="613"/>
      <c r="G41" s="22"/>
      <c r="H41" s="22"/>
      <c r="I41" s="403"/>
      <c r="J41" s="560"/>
      <c r="K41" s="560"/>
      <c r="L41" s="560"/>
      <c r="M41" s="560"/>
      <c r="N41" s="560"/>
      <c r="O41" s="21"/>
      <c r="P41" s="407"/>
      <c r="Q41" s="479"/>
      <c r="R41" s="451"/>
      <c r="S41" s="407"/>
      <c r="T41" s="416"/>
      <c r="U41" s="432"/>
      <c r="V41" s="201"/>
      <c r="W41" s="197"/>
      <c r="X41" s="197"/>
      <c r="Y41" s="186"/>
      <c r="Z41" s="186"/>
      <c r="AA41" s="186"/>
      <c r="AB41" s="197"/>
      <c r="AC41" s="202"/>
      <c r="AD41" s="167"/>
      <c r="AE41" s="177">
        <f>SUM(V38:AC41)+Q38</f>
        <v>24</v>
      </c>
      <c r="AF41" s="63"/>
    </row>
    <row r="42" spans="1:32" ht="19.5" customHeight="1" thickTop="1" thickBot="1">
      <c r="A42" s="556" t="s">
        <v>28</v>
      </c>
      <c r="B42" s="487">
        <v>42925</v>
      </c>
      <c r="C42" s="452" t="s">
        <v>16</v>
      </c>
      <c r="D42" s="619" t="s">
        <v>94</v>
      </c>
      <c r="E42" s="496"/>
      <c r="F42" s="496">
        <v>0</v>
      </c>
      <c r="G42" s="496"/>
      <c r="H42" s="496"/>
      <c r="I42" s="21"/>
      <c r="J42" s="632">
        <f>$F42*J$4</f>
        <v>0</v>
      </c>
      <c r="K42" s="632">
        <f t="shared" ref="K42:N42" si="26">$F42*K$4</f>
        <v>0</v>
      </c>
      <c r="L42" s="632">
        <f t="shared" si="26"/>
        <v>0</v>
      </c>
      <c r="M42" s="632">
        <f t="shared" si="26"/>
        <v>0</v>
      </c>
      <c r="N42" s="632">
        <f t="shared" si="26"/>
        <v>0</v>
      </c>
      <c r="O42" s="21"/>
      <c r="P42" s="405">
        <f>G42</f>
        <v>0</v>
      </c>
      <c r="Q42" s="477">
        <f>P42*$R$7/$D$5</f>
        <v>0</v>
      </c>
      <c r="R42" s="590">
        <f>Q42/R14</f>
        <v>0</v>
      </c>
      <c r="S42" s="405">
        <f t="shared" ref="S42" si="27">$D$5-P42</f>
        <v>10320</v>
      </c>
      <c r="T42" s="414">
        <f t="shared" ref="T42" si="28">S42/$D$5</f>
        <v>1</v>
      </c>
      <c r="U42" s="144"/>
      <c r="V42" s="220"/>
      <c r="W42" s="185"/>
      <c r="X42" s="185"/>
      <c r="Y42" s="185"/>
      <c r="Z42" s="185"/>
      <c r="AA42" s="185"/>
      <c r="AB42" s="185"/>
      <c r="AC42" s="171"/>
      <c r="AD42" s="165"/>
      <c r="AE42" s="177"/>
      <c r="AF42" s="63"/>
    </row>
    <row r="43" spans="1:32" ht="19.5" customHeight="1" thickTop="1">
      <c r="A43" s="556"/>
      <c r="B43" s="561"/>
      <c r="C43" s="562"/>
      <c r="D43" s="620"/>
      <c r="E43" s="497"/>
      <c r="F43" s="497"/>
      <c r="G43" s="497"/>
      <c r="H43" s="497"/>
      <c r="I43" s="21"/>
      <c r="J43" s="500"/>
      <c r="K43" s="500"/>
      <c r="L43" s="500"/>
      <c r="M43" s="500"/>
      <c r="N43" s="500"/>
      <c r="O43" s="25"/>
      <c r="P43" s="406"/>
      <c r="Q43" s="478"/>
      <c r="R43" s="591"/>
      <c r="S43" s="406"/>
      <c r="T43" s="415"/>
      <c r="U43" s="45"/>
      <c r="V43" s="199"/>
      <c r="W43" s="184"/>
      <c r="X43" s="184"/>
      <c r="Y43" s="184"/>
      <c r="Z43" s="314">
        <v>12</v>
      </c>
      <c r="AA43" s="314"/>
      <c r="AB43" s="314"/>
      <c r="AC43" s="315"/>
      <c r="AD43" s="316" t="s">
        <v>98</v>
      </c>
      <c r="AE43" s="177"/>
      <c r="AF43" s="63"/>
    </row>
    <row r="44" spans="1:32" ht="21.75" customHeight="1">
      <c r="A44" s="556"/>
      <c r="B44" s="561"/>
      <c r="C44" s="563" t="s">
        <v>19</v>
      </c>
      <c r="D44" s="634" t="s">
        <v>101</v>
      </c>
      <c r="E44" s="635"/>
      <c r="F44" s="635"/>
      <c r="G44" s="635"/>
      <c r="H44" s="635"/>
      <c r="I44" s="635"/>
      <c r="J44" s="635"/>
      <c r="K44" s="635"/>
      <c r="L44" s="635"/>
      <c r="M44" s="635"/>
      <c r="N44" s="636"/>
      <c r="O44" s="21"/>
      <c r="P44" s="406"/>
      <c r="Q44" s="478"/>
      <c r="R44" s="591"/>
      <c r="S44" s="406"/>
      <c r="T44" s="415"/>
      <c r="U44" s="145"/>
      <c r="V44" s="199"/>
      <c r="W44" s="184"/>
      <c r="X44" s="184"/>
      <c r="Y44" s="184"/>
      <c r="Z44" s="184"/>
      <c r="AA44" s="184"/>
      <c r="AB44" s="184"/>
      <c r="AC44" s="169"/>
      <c r="AD44" s="234"/>
      <c r="AE44" s="177"/>
      <c r="AF44" s="63"/>
    </row>
    <row r="45" spans="1:32" ht="21.75" customHeight="1" thickBot="1">
      <c r="A45" s="556"/>
      <c r="B45" s="488"/>
      <c r="C45" s="453"/>
      <c r="D45" s="634"/>
      <c r="E45" s="635"/>
      <c r="F45" s="635"/>
      <c r="G45" s="635"/>
      <c r="H45" s="635"/>
      <c r="I45" s="635"/>
      <c r="J45" s="635"/>
      <c r="K45" s="635"/>
      <c r="L45" s="635"/>
      <c r="M45" s="635"/>
      <c r="N45" s="636"/>
      <c r="O45" s="23"/>
      <c r="P45" s="407"/>
      <c r="Q45" s="479"/>
      <c r="R45" s="451"/>
      <c r="S45" s="407"/>
      <c r="T45" s="416"/>
      <c r="U45" s="47"/>
      <c r="V45" s="201"/>
      <c r="W45" s="197"/>
      <c r="X45" s="197"/>
      <c r="Y45" s="186"/>
      <c r="Z45" s="186"/>
      <c r="AA45" s="186"/>
      <c r="AB45" s="197"/>
      <c r="AC45" s="202"/>
      <c r="AD45" s="167"/>
      <c r="AE45" s="177">
        <f>SUM(V42:AC45)+Q42</f>
        <v>12</v>
      </c>
      <c r="AF45" s="63"/>
    </row>
    <row r="46" spans="1:32" ht="21.75" customHeight="1" thickTop="1">
      <c r="A46" s="399" t="s">
        <v>15</v>
      </c>
      <c r="B46" s="445">
        <v>42926</v>
      </c>
      <c r="C46" s="420" t="s">
        <v>16</v>
      </c>
      <c r="D46" s="634"/>
      <c r="E46" s="635"/>
      <c r="F46" s="635"/>
      <c r="G46" s="635"/>
      <c r="H46" s="635"/>
      <c r="I46" s="635"/>
      <c r="J46" s="635"/>
      <c r="K46" s="635"/>
      <c r="L46" s="635"/>
      <c r="M46" s="635"/>
      <c r="N46" s="636"/>
      <c r="O46" s="21"/>
      <c r="P46" s="420">
        <f>F48</f>
        <v>0</v>
      </c>
      <c r="Q46" s="477">
        <f>P46*$R$7/$D$5</f>
        <v>0</v>
      </c>
      <c r="R46" s="590">
        <f>Q46/$R$7</f>
        <v>0</v>
      </c>
      <c r="S46" s="405">
        <f t="shared" ref="S46" si="29">$D$5-P46</f>
        <v>10320</v>
      </c>
      <c r="T46" s="414">
        <f t="shared" ref="T46" si="30">S46/$D$5</f>
        <v>1</v>
      </c>
      <c r="U46" s="104"/>
      <c r="V46" s="339"/>
      <c r="W46" s="340"/>
      <c r="X46" s="340"/>
      <c r="Y46" s="340"/>
      <c r="Z46" s="340"/>
      <c r="AA46" s="340"/>
      <c r="AB46" s="340"/>
      <c r="AC46" s="341"/>
      <c r="AD46" s="306"/>
    </row>
    <row r="47" spans="1:32" ht="21.75" customHeight="1">
      <c r="A47" s="399"/>
      <c r="B47" s="424"/>
      <c r="C47" s="426"/>
      <c r="D47" s="637"/>
      <c r="E47" s="638"/>
      <c r="F47" s="638"/>
      <c r="G47" s="638"/>
      <c r="H47" s="638"/>
      <c r="I47" s="638"/>
      <c r="J47" s="638"/>
      <c r="K47" s="638"/>
      <c r="L47" s="638"/>
      <c r="M47" s="638"/>
      <c r="N47" s="639"/>
      <c r="O47" s="21"/>
      <c r="P47" s="406"/>
      <c r="Q47" s="478"/>
      <c r="R47" s="591"/>
      <c r="S47" s="406"/>
      <c r="T47" s="415"/>
      <c r="U47" s="430">
        <f>Q46+Y49</f>
        <v>0</v>
      </c>
      <c r="V47" s="199"/>
      <c r="W47" s="184"/>
      <c r="X47" s="184"/>
      <c r="Y47" s="184"/>
      <c r="Z47" s="184"/>
      <c r="AA47" s="184"/>
      <c r="AB47" s="184"/>
      <c r="AC47" s="169"/>
      <c r="AD47" s="166"/>
    </row>
    <row r="48" spans="1:32" ht="24" customHeight="1">
      <c r="A48" s="399"/>
      <c r="B48" s="424"/>
      <c r="C48" s="420" t="s">
        <v>19</v>
      </c>
      <c r="D48" s="489" t="s">
        <v>22</v>
      </c>
      <c r="E48" s="427"/>
      <c r="F48" s="427"/>
      <c r="G48" s="427"/>
      <c r="H48" s="427"/>
      <c r="I48" s="303"/>
      <c r="J48" s="500">
        <f>$F48*J$4</f>
        <v>0</v>
      </c>
      <c r="K48" s="500">
        <f>$F48*K$4</f>
        <v>0</v>
      </c>
      <c r="L48" s="500">
        <f>$F48*L$4</f>
        <v>0</v>
      </c>
      <c r="M48" s="500">
        <f>$F48*M$4</f>
        <v>0</v>
      </c>
      <c r="N48" s="500">
        <f>$F48*N$4</f>
        <v>0</v>
      </c>
      <c r="O48" s="21"/>
      <c r="P48" s="406"/>
      <c r="Q48" s="478"/>
      <c r="R48" s="591"/>
      <c r="S48" s="406"/>
      <c r="T48" s="415"/>
      <c r="U48" s="431"/>
      <c r="V48" s="199"/>
      <c r="W48" s="184"/>
      <c r="X48" s="215"/>
      <c r="Y48" s="215"/>
      <c r="Z48" s="314">
        <v>12</v>
      </c>
      <c r="AA48" s="314"/>
      <c r="AB48" s="314"/>
      <c r="AC48" s="315"/>
      <c r="AD48" s="316" t="s">
        <v>98</v>
      </c>
    </row>
    <row r="49" spans="1:31" ht="24" customHeight="1" thickBot="1">
      <c r="A49" s="399"/>
      <c r="B49" s="425"/>
      <c r="C49" s="407"/>
      <c r="D49" s="422"/>
      <c r="E49" s="633"/>
      <c r="F49" s="633"/>
      <c r="G49" s="633"/>
      <c r="H49" s="633"/>
      <c r="I49" s="304"/>
      <c r="J49" s="500"/>
      <c r="K49" s="500"/>
      <c r="L49" s="500"/>
      <c r="M49" s="500"/>
      <c r="N49" s="500"/>
      <c r="O49" s="23"/>
      <c r="P49" s="407"/>
      <c r="Q49" s="479"/>
      <c r="R49" s="451"/>
      <c r="S49" s="407"/>
      <c r="T49" s="416"/>
      <c r="U49" s="432"/>
      <c r="V49" s="201"/>
      <c r="W49" s="197"/>
      <c r="X49" s="197"/>
      <c r="Y49" s="197"/>
      <c r="Z49" s="198"/>
      <c r="AA49" s="198"/>
      <c r="AB49" s="197"/>
      <c r="AC49" s="170"/>
      <c r="AD49" s="167"/>
      <c r="AE49" s="177">
        <f>SUM(V46:AB49)+Q46</f>
        <v>12</v>
      </c>
    </row>
    <row r="50" spans="1:31" ht="24" customHeight="1" thickTop="1">
      <c r="A50" s="399" t="s">
        <v>21</v>
      </c>
      <c r="B50" s="423">
        <v>42927</v>
      </c>
      <c r="C50" s="405" t="s">
        <v>16</v>
      </c>
      <c r="D50" s="508" t="s">
        <v>17</v>
      </c>
      <c r="E50" s="329"/>
      <c r="F50" s="329"/>
      <c r="G50" s="329"/>
      <c r="H50" s="329"/>
      <c r="I50" s="402"/>
      <c r="J50" s="632">
        <f>$F50*J$4</f>
        <v>0</v>
      </c>
      <c r="K50" s="632">
        <f t="shared" ref="K50:N50" si="31">$F50*K$4</f>
        <v>0</v>
      </c>
      <c r="L50" s="632">
        <f t="shared" si="31"/>
        <v>0</v>
      </c>
      <c r="M50" s="632">
        <f t="shared" si="31"/>
        <v>0</v>
      </c>
      <c r="N50" s="632">
        <f t="shared" si="31"/>
        <v>0</v>
      </c>
      <c r="O50" s="402"/>
      <c r="P50" s="405">
        <f>+SUM(E50:H53)</f>
        <v>0</v>
      </c>
      <c r="Q50" s="477">
        <f>P50*$R$7/$D$5</f>
        <v>0</v>
      </c>
      <c r="R50" s="590">
        <f>Q50/$R$7</f>
        <v>0</v>
      </c>
      <c r="S50" s="405">
        <f t="shared" ref="S50" si="32">$D$5-P50</f>
        <v>10320</v>
      </c>
      <c r="T50" s="414">
        <f t="shared" ref="T50" si="33">S50/$D$5</f>
        <v>1</v>
      </c>
      <c r="U50" s="320"/>
      <c r="V50" s="220"/>
      <c r="W50" s="185"/>
      <c r="X50" s="185"/>
      <c r="Y50" s="185"/>
      <c r="Z50" s="185"/>
      <c r="AA50" s="185"/>
      <c r="AB50" s="185"/>
      <c r="AC50" s="171"/>
      <c r="AD50" s="165"/>
      <c r="AE50" s="177"/>
    </row>
    <row r="51" spans="1:31" ht="24" customHeight="1">
      <c r="A51" s="399"/>
      <c r="B51" s="424"/>
      <c r="C51" s="426"/>
      <c r="D51" s="509"/>
      <c r="E51" s="329"/>
      <c r="F51" s="329"/>
      <c r="G51" s="329"/>
      <c r="H51" s="329"/>
      <c r="I51" s="403"/>
      <c r="J51" s="500"/>
      <c r="K51" s="500"/>
      <c r="L51" s="500"/>
      <c r="M51" s="500"/>
      <c r="N51" s="500"/>
      <c r="O51" s="403"/>
      <c r="P51" s="406"/>
      <c r="Q51" s="478"/>
      <c r="R51" s="591"/>
      <c r="S51" s="406"/>
      <c r="T51" s="415"/>
      <c r="U51" s="430">
        <f>Q50+Y51+Y53</f>
        <v>0</v>
      </c>
      <c r="V51" s="199"/>
      <c r="W51" s="184"/>
      <c r="X51" s="216"/>
      <c r="Y51" s="184"/>
      <c r="Z51" s="184"/>
      <c r="AA51" s="184"/>
      <c r="AB51" s="184"/>
      <c r="AC51" s="169"/>
      <c r="AD51" s="166"/>
      <c r="AE51" s="177"/>
    </row>
    <row r="52" spans="1:31" ht="24" customHeight="1">
      <c r="A52" s="399"/>
      <c r="B52" s="424"/>
      <c r="C52" s="420" t="s">
        <v>19</v>
      </c>
      <c r="D52" s="421" t="s">
        <v>22</v>
      </c>
      <c r="E52" s="329"/>
      <c r="F52" s="329"/>
      <c r="G52" s="329"/>
      <c r="H52" s="329"/>
      <c r="I52" s="403"/>
      <c r="J52" s="559">
        <f>$F52*J$4</f>
        <v>0</v>
      </c>
      <c r="K52" s="559">
        <f t="shared" ref="K52:N52" si="34">$F52*K$4</f>
        <v>0</v>
      </c>
      <c r="L52" s="559">
        <f t="shared" si="34"/>
        <v>0</v>
      </c>
      <c r="M52" s="559">
        <f t="shared" si="34"/>
        <v>0</v>
      </c>
      <c r="N52" s="559">
        <f t="shared" si="34"/>
        <v>0</v>
      </c>
      <c r="O52" s="403"/>
      <c r="P52" s="406"/>
      <c r="Q52" s="478"/>
      <c r="R52" s="591"/>
      <c r="S52" s="406"/>
      <c r="T52" s="415"/>
      <c r="U52" s="431"/>
      <c r="V52" s="199"/>
      <c r="W52" s="184"/>
      <c r="X52" s="184"/>
      <c r="Y52" s="184"/>
      <c r="Z52" s="314">
        <v>24</v>
      </c>
      <c r="AA52" s="314"/>
      <c r="AB52" s="314"/>
      <c r="AC52" s="315"/>
      <c r="AD52" s="316" t="s">
        <v>98</v>
      </c>
      <c r="AE52" s="177"/>
    </row>
    <row r="53" spans="1:31" ht="24" customHeight="1" thickBot="1">
      <c r="A53" s="399"/>
      <c r="B53" s="425"/>
      <c r="C53" s="407"/>
      <c r="D53" s="422"/>
      <c r="E53" s="22"/>
      <c r="F53" s="22"/>
      <c r="G53" s="22"/>
      <c r="H53" s="22"/>
      <c r="I53" s="404"/>
      <c r="J53" s="500"/>
      <c r="K53" s="500"/>
      <c r="L53" s="500"/>
      <c r="M53" s="500"/>
      <c r="N53" s="500"/>
      <c r="O53" s="404"/>
      <c r="P53" s="407"/>
      <c r="Q53" s="479"/>
      <c r="R53" s="451"/>
      <c r="S53" s="407"/>
      <c r="T53" s="416"/>
      <c r="U53" s="432"/>
      <c r="V53" s="201"/>
      <c r="W53" s="197"/>
      <c r="X53" s="197"/>
      <c r="Y53" s="186"/>
      <c r="Z53" s="186"/>
      <c r="AA53" s="186"/>
      <c r="AB53" s="186"/>
      <c r="AC53" s="232"/>
      <c r="AD53" s="233"/>
      <c r="AE53" s="177">
        <f>SUM(V50:AB53)+Q50</f>
        <v>24</v>
      </c>
    </row>
    <row r="54" spans="1:31" ht="24" customHeight="1" thickTop="1" thickBot="1">
      <c r="A54" s="399" t="s">
        <v>23</v>
      </c>
      <c r="B54" s="423">
        <v>42928</v>
      </c>
      <c r="C54" s="405" t="s">
        <v>16</v>
      </c>
      <c r="D54" s="508" t="s">
        <v>17</v>
      </c>
      <c r="E54" s="329"/>
      <c r="F54" s="329"/>
      <c r="G54" s="329"/>
      <c r="H54" s="329"/>
      <c r="I54" s="402"/>
      <c r="J54" s="632">
        <f>$F54*J$4</f>
        <v>0</v>
      </c>
      <c r="K54" s="632">
        <f t="shared" ref="K54:N54" si="35">$F54*K$4</f>
        <v>0</v>
      </c>
      <c r="L54" s="632">
        <f t="shared" si="35"/>
        <v>0</v>
      </c>
      <c r="M54" s="632">
        <f t="shared" si="35"/>
        <v>0</v>
      </c>
      <c r="N54" s="632">
        <f t="shared" si="35"/>
        <v>0</v>
      </c>
      <c r="O54" s="402"/>
      <c r="P54" s="405">
        <f>SUM(E54:H57)</f>
        <v>0</v>
      </c>
      <c r="Q54" s="477">
        <f>P54*$R$7/$D$5</f>
        <v>0</v>
      </c>
      <c r="R54" s="590">
        <f>Q54/$R$7</f>
        <v>0</v>
      </c>
      <c r="S54" s="405">
        <f t="shared" ref="S54" si="36">$D$5-P54</f>
        <v>10320</v>
      </c>
      <c r="T54" s="414">
        <f t="shared" ref="T54" si="37">S54/$D$5</f>
        <v>1</v>
      </c>
      <c r="U54" s="320"/>
      <c r="V54" s="220"/>
      <c r="W54" s="185"/>
      <c r="X54" s="185"/>
      <c r="Y54" s="185"/>
      <c r="Z54" s="185"/>
      <c r="AA54" s="185"/>
      <c r="AB54" s="185"/>
      <c r="AC54" s="171"/>
      <c r="AD54" s="165"/>
      <c r="AE54" s="177"/>
    </row>
    <row r="55" spans="1:31" ht="24" customHeight="1" thickTop="1">
      <c r="A55" s="399"/>
      <c r="B55" s="424"/>
      <c r="C55" s="426"/>
      <c r="D55" s="509"/>
      <c r="E55" s="329"/>
      <c r="F55" s="329"/>
      <c r="G55" s="329"/>
      <c r="H55" s="329"/>
      <c r="I55" s="403"/>
      <c r="J55" s="500"/>
      <c r="K55" s="500"/>
      <c r="L55" s="500"/>
      <c r="M55" s="500"/>
      <c r="N55" s="500"/>
      <c r="O55" s="403"/>
      <c r="P55" s="406"/>
      <c r="Q55" s="478"/>
      <c r="R55" s="591"/>
      <c r="S55" s="406"/>
      <c r="T55" s="415"/>
      <c r="U55" s="417"/>
      <c r="V55" s="199"/>
      <c r="W55" s="184"/>
      <c r="X55" s="216"/>
      <c r="Y55" s="184"/>
      <c r="Z55" s="184"/>
      <c r="AA55" s="184"/>
      <c r="AB55" s="184"/>
      <c r="AC55" s="169"/>
      <c r="AD55" s="166"/>
      <c r="AE55" s="177"/>
    </row>
    <row r="56" spans="1:31" ht="24" customHeight="1">
      <c r="A56" s="399"/>
      <c r="B56" s="424"/>
      <c r="C56" s="420" t="s">
        <v>19</v>
      </c>
      <c r="D56" s="421" t="s">
        <v>22</v>
      </c>
      <c r="E56" s="329"/>
      <c r="F56" s="329"/>
      <c r="G56" s="329"/>
      <c r="H56" s="329"/>
      <c r="I56" s="403"/>
      <c r="J56" s="559">
        <f>$F56*J$4</f>
        <v>0</v>
      </c>
      <c r="K56" s="559">
        <f t="shared" ref="K56:N56" si="38">$F56*K$4</f>
        <v>0</v>
      </c>
      <c r="L56" s="559">
        <f t="shared" si="38"/>
        <v>0</v>
      </c>
      <c r="M56" s="559">
        <f t="shared" si="38"/>
        <v>0</v>
      </c>
      <c r="N56" s="559">
        <f t="shared" si="38"/>
        <v>0</v>
      </c>
      <c r="O56" s="403"/>
      <c r="P56" s="406"/>
      <c r="Q56" s="478"/>
      <c r="R56" s="591"/>
      <c r="S56" s="406"/>
      <c r="T56" s="415"/>
      <c r="U56" s="418"/>
      <c r="V56" s="199"/>
      <c r="W56" s="184"/>
      <c r="X56" s="184"/>
      <c r="Y56" s="184"/>
      <c r="Z56" s="314">
        <v>24</v>
      </c>
      <c r="AA56" s="314"/>
      <c r="AB56" s="314"/>
      <c r="AC56" s="315"/>
      <c r="AD56" s="316" t="s">
        <v>98</v>
      </c>
      <c r="AE56" s="177"/>
    </row>
    <row r="57" spans="1:31" ht="24" customHeight="1" thickBot="1">
      <c r="A57" s="399"/>
      <c r="B57" s="425"/>
      <c r="C57" s="407"/>
      <c r="D57" s="422"/>
      <c r="E57" s="22"/>
      <c r="F57" s="22"/>
      <c r="G57" s="22"/>
      <c r="H57" s="22"/>
      <c r="I57" s="404"/>
      <c r="J57" s="500"/>
      <c r="K57" s="500"/>
      <c r="L57" s="500"/>
      <c r="M57" s="500"/>
      <c r="N57" s="500"/>
      <c r="O57" s="404"/>
      <c r="P57" s="407"/>
      <c r="Q57" s="479"/>
      <c r="R57" s="451"/>
      <c r="S57" s="407"/>
      <c r="T57" s="416"/>
      <c r="U57" s="419"/>
      <c r="V57" s="201"/>
      <c r="W57" s="197"/>
      <c r="X57" s="197"/>
      <c r="Y57" s="186"/>
      <c r="Z57" s="186"/>
      <c r="AA57" s="186"/>
      <c r="AB57" s="186"/>
      <c r="AC57" s="337"/>
      <c r="AD57" s="167"/>
      <c r="AE57" s="177">
        <f>SUM(V54:AB57)+Q54</f>
        <v>24</v>
      </c>
    </row>
    <row r="58" spans="1:31" ht="24" customHeight="1" thickTop="1" thickBot="1">
      <c r="A58" s="399" t="s">
        <v>24</v>
      </c>
      <c r="B58" s="423">
        <v>42929</v>
      </c>
      <c r="C58" s="405" t="s">
        <v>16</v>
      </c>
      <c r="D58" s="508" t="s">
        <v>17</v>
      </c>
      <c r="E58" s="496"/>
      <c r="F58" s="496"/>
      <c r="G58" s="496"/>
      <c r="H58" s="496"/>
      <c r="I58" s="402"/>
      <c r="J58" s="632">
        <f>$F58*J$4</f>
        <v>0</v>
      </c>
      <c r="K58" s="632">
        <f t="shared" ref="K58:N58" si="39">$F58*K$4</f>
        <v>0</v>
      </c>
      <c r="L58" s="632">
        <f t="shared" si="39"/>
        <v>0</v>
      </c>
      <c r="M58" s="632">
        <f t="shared" si="39"/>
        <v>0</v>
      </c>
      <c r="N58" s="632">
        <f t="shared" si="39"/>
        <v>0</v>
      </c>
      <c r="O58" s="402"/>
      <c r="P58" s="405">
        <f>SUM(E58:H61)</f>
        <v>0</v>
      </c>
      <c r="Q58" s="477">
        <f>P58*$R$7/$D$5</f>
        <v>0</v>
      </c>
      <c r="R58" s="590">
        <f>Q58/$R$7</f>
        <v>0</v>
      </c>
      <c r="S58" s="405">
        <f t="shared" ref="S58" si="40">$D$5-P58</f>
        <v>10320</v>
      </c>
      <c r="T58" s="414">
        <f t="shared" ref="T58" si="41">S58/$D$5</f>
        <v>1</v>
      </c>
      <c r="U58" s="324"/>
      <c r="V58" s="220"/>
      <c r="W58" s="185"/>
      <c r="X58" s="185"/>
      <c r="Y58" s="185"/>
      <c r="Z58" s="185"/>
      <c r="AA58" s="185"/>
      <c r="AB58" s="185"/>
      <c r="AC58" s="171"/>
      <c r="AD58" s="165"/>
      <c r="AE58" s="177"/>
    </row>
    <row r="59" spans="1:31" ht="24" customHeight="1" thickTop="1">
      <c r="A59" s="399"/>
      <c r="B59" s="506"/>
      <c r="C59" s="426"/>
      <c r="D59" s="509"/>
      <c r="E59" s="497"/>
      <c r="F59" s="497"/>
      <c r="G59" s="497"/>
      <c r="H59" s="497"/>
      <c r="I59" s="403"/>
      <c r="J59" s="500"/>
      <c r="K59" s="500"/>
      <c r="L59" s="500"/>
      <c r="M59" s="500"/>
      <c r="N59" s="500"/>
      <c r="O59" s="403"/>
      <c r="P59" s="406"/>
      <c r="Q59" s="478"/>
      <c r="R59" s="591"/>
      <c r="S59" s="406"/>
      <c r="T59" s="415"/>
      <c r="U59" s="460">
        <f>Q58+Y59+Y61</f>
        <v>0</v>
      </c>
      <c r="V59" s="199"/>
      <c r="W59" s="184"/>
      <c r="X59" s="216"/>
      <c r="Y59" s="184"/>
      <c r="Z59" s="184"/>
      <c r="AA59" s="184"/>
      <c r="AB59" s="216"/>
      <c r="AC59" s="342"/>
      <c r="AD59" s="166"/>
      <c r="AE59" s="177"/>
    </row>
    <row r="60" spans="1:31" ht="24" customHeight="1">
      <c r="A60" s="399"/>
      <c r="B60" s="506"/>
      <c r="C60" s="420" t="s">
        <v>19</v>
      </c>
      <c r="D60" s="421" t="s">
        <v>22</v>
      </c>
      <c r="E60" s="39"/>
      <c r="F60" s="39"/>
      <c r="G60" s="497"/>
      <c r="H60" s="39"/>
      <c r="I60" s="21"/>
      <c r="J60" s="328">
        <f>$F60*J$4</f>
        <v>0</v>
      </c>
      <c r="K60" s="328">
        <f t="shared" ref="K60:N60" si="42">$F60*K$4</f>
        <v>0</v>
      </c>
      <c r="L60" s="328">
        <f t="shared" si="42"/>
        <v>0</v>
      </c>
      <c r="M60" s="328">
        <f t="shared" si="42"/>
        <v>0</v>
      </c>
      <c r="N60" s="328">
        <f t="shared" si="42"/>
        <v>0</v>
      </c>
      <c r="O60" s="403"/>
      <c r="P60" s="406"/>
      <c r="Q60" s="478"/>
      <c r="R60" s="591"/>
      <c r="S60" s="406"/>
      <c r="T60" s="415"/>
      <c r="U60" s="461"/>
      <c r="V60" s="199"/>
      <c r="W60" s="184"/>
      <c r="X60" s="184"/>
      <c r="Y60" s="184"/>
      <c r="Z60" s="314">
        <v>24</v>
      </c>
      <c r="AA60" s="314"/>
      <c r="AB60" s="314"/>
      <c r="AC60" s="315"/>
      <c r="AD60" s="316" t="s">
        <v>98</v>
      </c>
      <c r="AE60" s="177"/>
    </row>
    <row r="61" spans="1:31" ht="24" customHeight="1" thickBot="1">
      <c r="A61" s="399"/>
      <c r="B61" s="506"/>
      <c r="C61" s="506"/>
      <c r="D61" s="422"/>
      <c r="E61" s="329"/>
      <c r="F61" s="329"/>
      <c r="G61" s="613"/>
      <c r="H61" s="22"/>
      <c r="I61" s="21"/>
      <c r="J61" s="332">
        <f>$E61*J39</f>
        <v>0</v>
      </c>
      <c r="K61" s="332">
        <f t="shared" ref="K61:M61" si="43">$E61*K39</f>
        <v>0</v>
      </c>
      <c r="L61" s="332">
        <f t="shared" si="43"/>
        <v>0</v>
      </c>
      <c r="M61" s="332">
        <f t="shared" si="43"/>
        <v>0</v>
      </c>
      <c r="N61" s="136"/>
      <c r="O61" s="404"/>
      <c r="P61" s="406"/>
      <c r="Q61" s="479"/>
      <c r="R61" s="451"/>
      <c r="S61" s="407"/>
      <c r="T61" s="416"/>
      <c r="U61" s="461"/>
      <c r="V61" s="201"/>
      <c r="W61" s="197"/>
      <c r="X61" s="197"/>
      <c r="Y61" s="186"/>
      <c r="Z61" s="186"/>
      <c r="AA61" s="186"/>
      <c r="AB61" s="343"/>
      <c r="AC61" s="338"/>
      <c r="AD61" s="167"/>
      <c r="AE61" s="177">
        <f>SUM(V58:AB61)+Q58</f>
        <v>24</v>
      </c>
    </row>
    <row r="62" spans="1:31" ht="19.5" customHeight="1" thickTop="1" thickBot="1">
      <c r="A62" s="399" t="s">
        <v>25</v>
      </c>
      <c r="B62" s="423">
        <v>42930</v>
      </c>
      <c r="C62" s="405" t="s">
        <v>16</v>
      </c>
      <c r="D62" s="508" t="s">
        <v>17</v>
      </c>
      <c r="E62" s="496"/>
      <c r="F62" s="496"/>
      <c r="G62" s="496"/>
      <c r="H62" s="496"/>
      <c r="I62" s="21"/>
      <c r="J62" s="632">
        <f>$E62*J$3</f>
        <v>0</v>
      </c>
      <c r="K62" s="632">
        <f t="shared" ref="K62:M62" si="44">$E62*K$3</f>
        <v>0</v>
      </c>
      <c r="L62" s="632">
        <f t="shared" si="44"/>
        <v>0</v>
      </c>
      <c r="M62" s="632">
        <f t="shared" si="44"/>
        <v>0</v>
      </c>
      <c r="N62" s="400"/>
      <c r="O62" s="21"/>
      <c r="P62" s="405">
        <f>SUM(E62:H65)</f>
        <v>4440</v>
      </c>
      <c r="Q62" s="477">
        <f>P62*$R$7/$D$5</f>
        <v>10.325581395348838</v>
      </c>
      <c r="R62" s="590">
        <f>Q62/$R$7</f>
        <v>0.43023255813953493</v>
      </c>
      <c r="S62" s="405">
        <f t="shared" ref="S62" si="45">$D$5-P62</f>
        <v>5880</v>
      </c>
      <c r="T62" s="414">
        <f t="shared" ref="T62" si="46">S62/$D$5</f>
        <v>0.56976744186046513</v>
      </c>
      <c r="U62" s="321"/>
      <c r="V62" s="266">
        <v>2</v>
      </c>
      <c r="W62" s="204"/>
      <c r="X62" s="204"/>
      <c r="Y62" s="204"/>
      <c r="Z62" s="204"/>
      <c r="AA62" s="204"/>
      <c r="AB62" s="204"/>
      <c r="AC62" s="205"/>
      <c r="AD62" s="347" t="s">
        <v>99</v>
      </c>
      <c r="AE62" s="177"/>
    </row>
    <row r="63" spans="1:31" ht="19.5" customHeight="1" thickTop="1">
      <c r="A63" s="399"/>
      <c r="B63" s="424"/>
      <c r="C63" s="426"/>
      <c r="D63" s="509"/>
      <c r="E63" s="497"/>
      <c r="F63" s="497"/>
      <c r="G63" s="529"/>
      <c r="H63" s="497"/>
      <c r="I63" s="21"/>
      <c r="J63" s="500"/>
      <c r="K63" s="500"/>
      <c r="L63" s="500"/>
      <c r="M63" s="500"/>
      <c r="N63" s="446"/>
      <c r="O63" s="21"/>
      <c r="P63" s="406"/>
      <c r="Q63" s="478"/>
      <c r="R63" s="591"/>
      <c r="S63" s="406"/>
      <c r="T63" s="415"/>
      <c r="U63" s="442">
        <f>Y63+Y65+Q62</f>
        <v>10.325581395348838</v>
      </c>
      <c r="V63" s="199"/>
      <c r="W63" s="184"/>
      <c r="X63" s="184"/>
      <c r="Y63" s="184"/>
      <c r="Z63" s="184"/>
      <c r="AA63" s="184"/>
      <c r="AB63" s="184"/>
      <c r="AC63" s="169"/>
      <c r="AD63" s="166"/>
      <c r="AE63" s="177"/>
    </row>
    <row r="64" spans="1:31" ht="21" customHeight="1" thickBot="1">
      <c r="A64" s="399"/>
      <c r="B64" s="424"/>
      <c r="C64" s="420" t="s">
        <v>19</v>
      </c>
      <c r="D64" s="421" t="s">
        <v>22</v>
      </c>
      <c r="E64" s="611"/>
      <c r="F64" s="497"/>
      <c r="G64" s="558">
        <f>37*120</f>
        <v>4440</v>
      </c>
      <c r="H64" s="39"/>
      <c r="I64" s="21"/>
      <c r="J64" s="533">
        <f>$G64*J$5</f>
        <v>1998</v>
      </c>
      <c r="K64" s="533">
        <f t="shared" ref="K64:M64" si="47">$G64*K$5</f>
        <v>1191.252</v>
      </c>
      <c r="L64" s="533">
        <f t="shared" si="47"/>
        <v>1189.4760000000001</v>
      </c>
      <c r="M64" s="533">
        <f t="shared" si="47"/>
        <v>61.271999999999998</v>
      </c>
      <c r="N64" s="43"/>
      <c r="O64" s="21"/>
      <c r="P64" s="406"/>
      <c r="Q64" s="478"/>
      <c r="R64" s="591"/>
      <c r="S64" s="406"/>
      <c r="T64" s="415"/>
      <c r="U64" s="406"/>
      <c r="V64" s="199"/>
      <c r="W64" s="184"/>
      <c r="X64" s="184"/>
      <c r="Y64" s="184"/>
      <c r="Z64" s="314">
        <v>11.5</v>
      </c>
      <c r="AA64" s="314"/>
      <c r="AB64" s="314"/>
      <c r="AC64" s="315"/>
      <c r="AD64" s="316" t="s">
        <v>98</v>
      </c>
      <c r="AE64" s="177"/>
    </row>
    <row r="65" spans="1:31" ht="21" customHeight="1" thickTop="1" thickBot="1">
      <c r="A65" s="399"/>
      <c r="B65" s="425"/>
      <c r="C65" s="407"/>
      <c r="D65" s="422"/>
      <c r="E65" s="612"/>
      <c r="F65" s="613"/>
      <c r="G65" s="614"/>
      <c r="H65" s="22"/>
      <c r="I65" s="21"/>
      <c r="J65" s="534"/>
      <c r="K65" s="534"/>
      <c r="L65" s="534"/>
      <c r="M65" s="534"/>
      <c r="N65" s="136"/>
      <c r="O65" s="23"/>
      <c r="P65" s="407"/>
      <c r="Q65" s="479"/>
      <c r="R65" s="451"/>
      <c r="S65" s="407"/>
      <c r="T65" s="416"/>
      <c r="U65" s="407"/>
      <c r="V65" s="201"/>
      <c r="W65" s="197"/>
      <c r="X65" s="197"/>
      <c r="Y65" s="186"/>
      <c r="Z65" s="186"/>
      <c r="AA65" s="186"/>
      <c r="AB65" s="343"/>
      <c r="AC65" s="338"/>
      <c r="AD65" s="167"/>
      <c r="AE65" s="177">
        <f>SUM(V62:AB65)+Q62</f>
        <v>23.825581395348838</v>
      </c>
    </row>
    <row r="66" spans="1:31" ht="21" customHeight="1" thickTop="1" thickBot="1">
      <c r="A66" s="399" t="s">
        <v>26</v>
      </c>
      <c r="B66" s="423">
        <v>42931</v>
      </c>
      <c r="C66" s="405" t="s">
        <v>16</v>
      </c>
      <c r="D66" s="508" t="s">
        <v>17</v>
      </c>
      <c r="E66" s="496"/>
      <c r="F66" s="496"/>
      <c r="G66" s="557">
        <f>44*120</f>
        <v>5280</v>
      </c>
      <c r="H66" s="496"/>
      <c r="I66" s="403"/>
      <c r="J66" s="552">
        <f>$G66*J$5</f>
        <v>2376</v>
      </c>
      <c r="K66" s="552">
        <f t="shared" ref="K66:M66" si="48">$G66*K$5</f>
        <v>1416.6239999999998</v>
      </c>
      <c r="L66" s="552">
        <f t="shared" si="48"/>
        <v>1414.5120000000002</v>
      </c>
      <c r="M66" s="552">
        <f t="shared" si="48"/>
        <v>72.864000000000004</v>
      </c>
      <c r="N66" s="564">
        <f>$F66*N$4</f>
        <v>0</v>
      </c>
      <c r="O66" s="403"/>
      <c r="P66" s="405">
        <f>SUM(E66:H69)</f>
        <v>10920</v>
      </c>
      <c r="Q66" s="477">
        <f>P66*$R$7/$D$5</f>
        <v>25.395348837209301</v>
      </c>
      <c r="R66" s="411">
        <f>Q66/$R$7</f>
        <v>1.0581395348837208</v>
      </c>
      <c r="S66" s="405">
        <f t="shared" ref="S66" si="49">$D$5-P66</f>
        <v>-600</v>
      </c>
      <c r="T66" s="414">
        <f t="shared" ref="T66" si="50">S66/$D$5</f>
        <v>-5.8139534883720929E-2</v>
      </c>
      <c r="U66" s="322"/>
      <c r="V66" s="199"/>
      <c r="W66" s="184"/>
      <c r="X66" s="184"/>
      <c r="Y66" s="184"/>
      <c r="Z66" s="184"/>
      <c r="AA66" s="184"/>
      <c r="AB66" s="184"/>
      <c r="AC66" s="171"/>
      <c r="AD66" s="165"/>
      <c r="AE66" s="177"/>
    </row>
    <row r="67" spans="1:31" ht="21" customHeight="1" thickTop="1">
      <c r="A67" s="399"/>
      <c r="B67" s="424"/>
      <c r="C67" s="426"/>
      <c r="D67" s="509"/>
      <c r="E67" s="497"/>
      <c r="F67" s="497"/>
      <c r="G67" s="610"/>
      <c r="H67" s="497"/>
      <c r="I67" s="403"/>
      <c r="J67" s="553"/>
      <c r="K67" s="553"/>
      <c r="L67" s="553"/>
      <c r="M67" s="553"/>
      <c r="N67" s="501"/>
      <c r="O67" s="403"/>
      <c r="P67" s="406"/>
      <c r="Q67" s="478"/>
      <c r="R67" s="412"/>
      <c r="S67" s="406"/>
      <c r="T67" s="415"/>
      <c r="U67" s="442">
        <f>Q66+Y68</f>
        <v>25.395348837209301</v>
      </c>
      <c r="V67" s="199"/>
      <c r="W67" s="184"/>
      <c r="X67" s="184"/>
      <c r="Y67" s="184"/>
      <c r="Z67" s="184"/>
      <c r="AA67" s="184"/>
      <c r="AB67" s="184"/>
      <c r="AC67" s="169"/>
      <c r="AD67" s="166"/>
      <c r="AE67" s="177"/>
    </row>
    <row r="68" spans="1:31" ht="23.25" customHeight="1">
      <c r="A68" s="399"/>
      <c r="B68" s="424"/>
      <c r="C68" s="420" t="s">
        <v>19</v>
      </c>
      <c r="D68" s="421" t="s">
        <v>22</v>
      </c>
      <c r="E68" s="611"/>
      <c r="F68" s="497"/>
      <c r="G68" s="558">
        <f>47*120</f>
        <v>5640</v>
      </c>
      <c r="H68" s="39"/>
      <c r="I68" s="41"/>
      <c r="J68" s="533">
        <f>$G68*J$5</f>
        <v>2538</v>
      </c>
      <c r="K68" s="533">
        <f t="shared" ref="K68:M68" si="51">$G68*K$5</f>
        <v>1513.212</v>
      </c>
      <c r="L68" s="533">
        <f t="shared" si="51"/>
        <v>1510.9560000000001</v>
      </c>
      <c r="M68" s="533">
        <f t="shared" si="51"/>
        <v>77.831999999999994</v>
      </c>
      <c r="N68" s="559">
        <f>$F68*N$4</f>
        <v>0</v>
      </c>
      <c r="O68" s="21"/>
      <c r="P68" s="406"/>
      <c r="Q68" s="478"/>
      <c r="R68" s="412"/>
      <c r="S68" s="406"/>
      <c r="T68" s="415"/>
      <c r="U68" s="431"/>
      <c r="V68" s="199"/>
      <c r="W68" s="184"/>
      <c r="X68" s="184"/>
      <c r="Y68" s="184"/>
      <c r="Z68" s="184"/>
      <c r="AA68" s="184"/>
      <c r="AB68" s="184"/>
      <c r="AC68" s="169"/>
      <c r="AD68" s="166"/>
      <c r="AE68" s="177"/>
    </row>
    <row r="69" spans="1:31" ht="23.25" customHeight="1" thickBot="1">
      <c r="A69" s="399"/>
      <c r="B69" s="425"/>
      <c r="C69" s="407"/>
      <c r="D69" s="422"/>
      <c r="E69" s="612"/>
      <c r="F69" s="613"/>
      <c r="G69" s="614"/>
      <c r="H69" s="22"/>
      <c r="I69" s="142"/>
      <c r="J69" s="534"/>
      <c r="K69" s="534"/>
      <c r="L69" s="534"/>
      <c r="M69" s="534"/>
      <c r="N69" s="500"/>
      <c r="O69" s="21"/>
      <c r="P69" s="407"/>
      <c r="Q69" s="479"/>
      <c r="R69" s="413"/>
      <c r="S69" s="407"/>
      <c r="T69" s="416"/>
      <c r="U69" s="432"/>
      <c r="V69" s="201"/>
      <c r="W69" s="197"/>
      <c r="X69" s="197"/>
      <c r="Y69" s="186"/>
      <c r="Z69" s="186"/>
      <c r="AA69" s="186"/>
      <c r="AB69" s="197"/>
      <c r="AC69" s="170"/>
      <c r="AD69" s="167"/>
      <c r="AE69" s="177">
        <f>SUM(V66:AB69)+Q66</f>
        <v>25.395348837209301</v>
      </c>
    </row>
    <row r="70" spans="1:31" ht="23.25" customHeight="1" thickTop="1" thickBot="1">
      <c r="A70" s="399" t="s">
        <v>28</v>
      </c>
      <c r="B70" s="487">
        <v>42932</v>
      </c>
      <c r="C70" s="452" t="s">
        <v>16</v>
      </c>
      <c r="D70" s="435" t="s">
        <v>17</v>
      </c>
      <c r="E70" s="336"/>
      <c r="F70" s="336"/>
      <c r="G70" s="557">
        <f>39*120</f>
        <v>4680</v>
      </c>
      <c r="H70" s="336"/>
      <c r="I70" s="335"/>
      <c r="J70" s="552">
        <f>$G70*J$5</f>
        <v>2106</v>
      </c>
      <c r="K70" s="552">
        <f t="shared" ref="K70:M70" si="52">$G70*K$5</f>
        <v>1255.644</v>
      </c>
      <c r="L70" s="552">
        <f t="shared" si="52"/>
        <v>1253.7720000000002</v>
      </c>
      <c r="M70" s="552">
        <f t="shared" si="52"/>
        <v>64.584000000000003</v>
      </c>
      <c r="N70" s="564"/>
      <c r="O70" s="21"/>
      <c r="P70" s="405">
        <f>G70</f>
        <v>4680</v>
      </c>
      <c r="Q70" s="477">
        <f>P70*$R$7/$D$5</f>
        <v>10.883720930232558</v>
      </c>
      <c r="R70" s="590">
        <f>Q70/$R$7</f>
        <v>0.45348837209302323</v>
      </c>
      <c r="S70" s="405">
        <f t="shared" ref="S70" si="53">$D$5-P70</f>
        <v>5640</v>
      </c>
      <c r="T70" s="414">
        <f t="shared" ref="T70" si="54">S70/$D$5</f>
        <v>0.54651162790697672</v>
      </c>
      <c r="U70" s="144"/>
      <c r="V70" s="220">
        <v>1</v>
      </c>
      <c r="W70" s="185"/>
      <c r="X70" s="185"/>
      <c r="Y70" s="185"/>
      <c r="Z70" s="185"/>
      <c r="AA70" s="185"/>
      <c r="AB70" s="185"/>
      <c r="AC70" s="171"/>
      <c r="AD70" s="165" t="s">
        <v>100</v>
      </c>
      <c r="AE70" s="177"/>
    </row>
    <row r="71" spans="1:31" ht="23.25" customHeight="1" thickTop="1">
      <c r="A71" s="399"/>
      <c r="B71" s="561"/>
      <c r="C71" s="562"/>
      <c r="D71" s="489"/>
      <c r="E71" s="336"/>
      <c r="F71" s="336"/>
      <c r="G71" s="558"/>
      <c r="H71" s="336"/>
      <c r="I71" s="335"/>
      <c r="J71" s="553"/>
      <c r="K71" s="553"/>
      <c r="L71" s="553"/>
      <c r="M71" s="553"/>
      <c r="N71" s="500"/>
      <c r="O71" s="25"/>
      <c r="P71" s="406"/>
      <c r="Q71" s="478"/>
      <c r="R71" s="591"/>
      <c r="S71" s="406"/>
      <c r="T71" s="415"/>
      <c r="U71" s="45"/>
      <c r="V71" s="199"/>
      <c r="W71" s="184"/>
      <c r="X71" s="184"/>
      <c r="Y71" s="184"/>
      <c r="Z71" s="184"/>
      <c r="AA71" s="184"/>
      <c r="AB71" s="184"/>
      <c r="AC71" s="169"/>
      <c r="AD71" s="166"/>
      <c r="AE71" s="177"/>
    </row>
    <row r="72" spans="1:31" ht="23.25" customHeight="1">
      <c r="A72" s="399"/>
      <c r="B72" s="561"/>
      <c r="C72" s="563" t="s">
        <v>19</v>
      </c>
      <c r="D72" s="626"/>
      <c r="E72" s="627"/>
      <c r="F72" s="627"/>
      <c r="G72" s="627"/>
      <c r="H72" s="627"/>
      <c r="I72" s="627"/>
      <c r="J72" s="627"/>
      <c r="K72" s="627"/>
      <c r="L72" s="627"/>
      <c r="M72" s="627"/>
      <c r="N72" s="628"/>
      <c r="O72" s="21"/>
      <c r="P72" s="406"/>
      <c r="Q72" s="478"/>
      <c r="R72" s="591"/>
      <c r="S72" s="406"/>
      <c r="T72" s="415"/>
      <c r="U72" s="145"/>
      <c r="V72" s="199"/>
      <c r="W72" s="184"/>
      <c r="X72" s="184"/>
      <c r="Y72" s="184"/>
      <c r="Z72" s="184"/>
      <c r="AA72" s="184"/>
      <c r="AB72" s="184"/>
      <c r="AC72" s="169"/>
      <c r="AD72" s="166"/>
      <c r="AE72" s="177"/>
    </row>
    <row r="73" spans="1:31" ht="23.25" customHeight="1" thickBot="1">
      <c r="A73" s="399"/>
      <c r="B73" s="488"/>
      <c r="C73" s="453"/>
      <c r="D73" s="629"/>
      <c r="E73" s="630"/>
      <c r="F73" s="630"/>
      <c r="G73" s="630"/>
      <c r="H73" s="630"/>
      <c r="I73" s="630"/>
      <c r="J73" s="630"/>
      <c r="K73" s="630"/>
      <c r="L73" s="630"/>
      <c r="M73" s="630"/>
      <c r="N73" s="631"/>
      <c r="O73" s="23"/>
      <c r="P73" s="407"/>
      <c r="Q73" s="479"/>
      <c r="R73" s="451"/>
      <c r="S73" s="407"/>
      <c r="T73" s="416"/>
      <c r="U73" s="47"/>
      <c r="V73" s="201"/>
      <c r="W73" s="197"/>
      <c r="X73" s="197"/>
      <c r="Y73" s="186"/>
      <c r="Z73" s="186"/>
      <c r="AA73" s="186"/>
      <c r="AB73" s="186"/>
      <c r="AC73" s="232"/>
      <c r="AD73" s="167"/>
      <c r="AE73" s="177">
        <f>SUM(V70:AB73)+Q70</f>
        <v>11.883720930232558</v>
      </c>
    </row>
    <row r="74" spans="1:31" ht="15.75" customHeight="1" thickTop="1">
      <c r="B74" s="482" t="s">
        <v>36</v>
      </c>
      <c r="C74" s="482"/>
      <c r="D74" s="644"/>
      <c r="J74" s="642">
        <f>SUM(J10:J73)</f>
        <v>29700</v>
      </c>
      <c r="K74" s="642">
        <f t="shared" ref="K74:N74" si="55">SUM(K10:K73)</f>
        <v>17707.8</v>
      </c>
      <c r="L74" s="642">
        <f t="shared" si="55"/>
        <v>17681.400000000005</v>
      </c>
      <c r="M74" s="642">
        <f t="shared" si="55"/>
        <v>910.80000000000018</v>
      </c>
      <c r="N74" s="642">
        <f t="shared" si="55"/>
        <v>232.65600000000001</v>
      </c>
      <c r="P74" s="624"/>
      <c r="Q74" s="75"/>
      <c r="AD74" s="168"/>
    </row>
    <row r="75" spans="1:31" ht="21" customHeight="1">
      <c r="B75" s="644"/>
      <c r="C75" s="644"/>
      <c r="D75" s="644"/>
      <c r="E75" s="52">
        <f>SUM(E10:E74)</f>
        <v>0</v>
      </c>
      <c r="F75" s="53">
        <f>SUM(F10:F74)</f>
        <v>31440</v>
      </c>
      <c r="G75" s="54">
        <f>SUM(G10:G74)</f>
        <v>34560</v>
      </c>
      <c r="H75" s="55">
        <f>SUM(H10:H74)</f>
        <v>0</v>
      </c>
      <c r="I75" s="48"/>
      <c r="J75" s="625"/>
      <c r="K75" s="625"/>
      <c r="L75" s="625"/>
      <c r="M75" s="625"/>
      <c r="N75" s="625"/>
      <c r="O75" s="48">
        <f>SUM(O10:O17)</f>
        <v>0</v>
      </c>
      <c r="P75" s="625"/>
      <c r="Q75" s="72">
        <f>SUM(Q10:Q17)</f>
        <v>33.767441860465112</v>
      </c>
      <c r="R75" s="72"/>
      <c r="S75" s="72"/>
      <c r="T75" s="73" t="s">
        <v>35</v>
      </c>
      <c r="U75" s="72">
        <f>SUM(U10:U17)</f>
        <v>23.441860465116278</v>
      </c>
      <c r="V75" s="72">
        <f>SUM(V10:V73)</f>
        <v>6.75</v>
      </c>
      <c r="W75" s="72">
        <f t="shared" ref="W75:AC75" si="56">SUM(W10:W73)</f>
        <v>0</v>
      </c>
      <c r="X75" s="72">
        <f t="shared" si="56"/>
        <v>0.5</v>
      </c>
      <c r="Y75" s="72">
        <f t="shared" si="56"/>
        <v>0</v>
      </c>
      <c r="Z75" s="72">
        <f t="shared" si="56"/>
        <v>135</v>
      </c>
      <c r="AA75" s="72">
        <f t="shared" si="56"/>
        <v>0</v>
      </c>
      <c r="AB75" s="72">
        <f t="shared" si="56"/>
        <v>30.75</v>
      </c>
      <c r="AC75" s="72">
        <f t="shared" si="56"/>
        <v>0</v>
      </c>
      <c r="AD75" s="48" t="s">
        <v>29</v>
      </c>
      <c r="AE75" s="72"/>
    </row>
    <row r="76" spans="1:31" ht="23.25">
      <c r="C76" s="49" t="s">
        <v>30</v>
      </c>
      <c r="D76" s="50"/>
      <c r="E76" s="597">
        <f>E75+F75+G75+H75</f>
        <v>66000</v>
      </c>
      <c r="F76" s="597"/>
      <c r="G76" s="597"/>
      <c r="H76" s="597"/>
      <c r="Q76" s="228"/>
      <c r="R76" s="212"/>
      <c r="S76" s="227"/>
      <c r="U76" s="70"/>
      <c r="V76" s="70"/>
      <c r="W76" s="70"/>
      <c r="X76" s="155"/>
      <c r="Y76" s="146"/>
      <c r="Z76" s="146"/>
      <c r="AA76" s="146"/>
      <c r="AB76" s="146"/>
      <c r="AC76" s="146"/>
      <c r="AD76" s="230"/>
    </row>
    <row r="77" spans="1:31" ht="18.75" customHeight="1">
      <c r="E77" s="310"/>
      <c r="Q77" s="68" t="s">
        <v>34</v>
      </c>
      <c r="S77" s="643">
        <f>P81*P82*P83</f>
        <v>0.4660493827160494</v>
      </c>
      <c r="T77" s="643"/>
    </row>
    <row r="78" spans="1:31" ht="23.25">
      <c r="R78" s="68" t="s">
        <v>33</v>
      </c>
      <c r="U78" s="67">
        <f>V75/E3</f>
        <v>1.7578125E-2</v>
      </c>
      <c r="V78" s="284">
        <f t="shared" ref="V78:AC78" si="57">V75/$E$4</f>
        <v>2.0833333333333332E-2</v>
      </c>
      <c r="W78" s="285">
        <f t="shared" si="57"/>
        <v>0</v>
      </c>
      <c r="X78" s="286">
        <f t="shared" si="57"/>
        <v>1.5432098765432098E-3</v>
      </c>
      <c r="Y78" s="287">
        <f t="shared" si="57"/>
        <v>0</v>
      </c>
      <c r="Z78" s="288">
        <f t="shared" si="57"/>
        <v>0.41666666666666669</v>
      </c>
      <c r="AA78" s="289">
        <f t="shared" si="57"/>
        <v>0</v>
      </c>
      <c r="AB78" s="290">
        <f t="shared" si="57"/>
        <v>9.4907407407407413E-2</v>
      </c>
      <c r="AC78" s="291">
        <f t="shared" si="57"/>
        <v>0</v>
      </c>
    </row>
    <row r="79" spans="1:31">
      <c r="E79" s="64"/>
      <c r="G79" s="600"/>
      <c r="H79" s="5"/>
    </row>
    <row r="80" spans="1:31">
      <c r="E80" s="64"/>
      <c r="G80" s="600"/>
      <c r="H80" s="5"/>
    </row>
    <row r="81" spans="1:30">
      <c r="D81" s="64" t="s">
        <v>88</v>
      </c>
      <c r="E81">
        <f>E4</f>
        <v>324</v>
      </c>
      <c r="G81" s="162" t="s">
        <v>68</v>
      </c>
      <c r="M81"/>
      <c r="P81" s="158">
        <f>+E82/E81</f>
        <v>1</v>
      </c>
      <c r="T81" s="598"/>
      <c r="U81" s="598"/>
      <c r="V81" s="598"/>
      <c r="Z81" s="262"/>
    </row>
    <row r="82" spans="1:30">
      <c r="D82" s="64" t="s">
        <v>67</v>
      </c>
      <c r="E82" s="63">
        <f>E81-W75</f>
        <v>324</v>
      </c>
      <c r="G82" s="162" t="s">
        <v>69</v>
      </c>
      <c r="M82"/>
      <c r="P82" s="158">
        <f>+E83/E82</f>
        <v>0.46759259259259262</v>
      </c>
      <c r="T82" s="599"/>
      <c r="U82" s="599"/>
      <c r="V82" s="599"/>
      <c r="AD82" s="261"/>
    </row>
    <row r="83" spans="1:30">
      <c r="D83" s="64" t="s">
        <v>66</v>
      </c>
      <c r="E83" s="63">
        <f>+E82-Z75-AA75-V75-Y75-AB75-AC75</f>
        <v>151.5</v>
      </c>
      <c r="G83" s="162" t="s">
        <v>89</v>
      </c>
      <c r="L83"/>
      <c r="M83"/>
      <c r="P83" s="158">
        <f>+E84/E83</f>
        <v>0.99669966996699666</v>
      </c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0">
      <c r="D84" s="64" t="s">
        <v>70</v>
      </c>
      <c r="E84" s="292">
        <f>E83-X75</f>
        <v>151</v>
      </c>
      <c r="L84" s="61"/>
      <c r="M84" s="159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30" s="4" customFormat="1">
      <c r="A85" s="295"/>
      <c r="G85" s="162"/>
      <c r="H85" s="59"/>
      <c r="I85"/>
      <c r="J85"/>
      <c r="K85" s="58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30" s="4" customFormat="1">
      <c r="A86" s="295"/>
      <c r="G86"/>
      <c r="H86" s="59"/>
      <c r="I86"/>
      <c r="J86"/>
      <c r="K86" s="58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30" s="4" customFormat="1">
      <c r="A87" s="295"/>
      <c r="G87"/>
      <c r="H87" s="58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30" s="4" customFormat="1">
      <c r="A88" s="295"/>
      <c r="G88"/>
      <c r="H88"/>
      <c r="I88"/>
      <c r="J88"/>
      <c r="K88" s="5"/>
      <c r="L88" s="65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30" s="4" customFormat="1">
      <c r="A89" s="295"/>
      <c r="G89"/>
      <c r="H89"/>
      <c r="I89"/>
      <c r="J89"/>
      <c r="K89" s="5"/>
      <c r="L89" s="5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30" s="4" customFormat="1">
      <c r="A90" s="295"/>
      <c r="G90"/>
      <c r="H90"/>
      <c r="I90"/>
      <c r="J90"/>
      <c r="K90" s="5"/>
      <c r="L90" s="265"/>
      <c r="M90" s="5"/>
      <c r="N90"/>
      <c r="O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30" s="4" customFormat="1" ht="18">
      <c r="A91" s="295"/>
      <c r="G91"/>
      <c r="H91" s="51"/>
      <c r="I91"/>
      <c r="J91" s="5"/>
      <c r="K91" s="5"/>
      <c r="L91" s="264"/>
      <c r="M91" s="5"/>
      <c r="N91"/>
      <c r="O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30" s="4" customFormat="1">
      <c r="A92" s="295"/>
      <c r="G92"/>
      <c r="H92"/>
      <c r="I92"/>
      <c r="J92" s="5"/>
      <c r="K92" s="5"/>
      <c r="L92" s="160"/>
      <c r="M92" s="5"/>
      <c r="N92"/>
      <c r="O9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30" s="4" customFormat="1" ht="18">
      <c r="A93" s="295"/>
      <c r="G93"/>
      <c r="H93" s="51"/>
      <c r="I93"/>
      <c r="J93" s="5"/>
      <c r="K93" s="5"/>
      <c r="L93" s="5"/>
      <c r="M93" s="5"/>
      <c r="N93"/>
      <c r="O9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125" spans="4:14" ht="16.5" thickBot="1"/>
    <row r="126" spans="4:14" ht="16.5" thickTop="1">
      <c r="D126" s="435" t="s">
        <v>22</v>
      </c>
      <c r="E126" s="329"/>
      <c r="F126" s="496"/>
      <c r="G126" s="557">
        <f>40*120</f>
        <v>4800</v>
      </c>
      <c r="H126" s="496"/>
      <c r="I126" s="403"/>
      <c r="J126" s="552">
        <f>$G126*J4</f>
        <v>2160</v>
      </c>
      <c r="K126" s="552">
        <f t="shared" ref="K126:M126" si="58">$G126*K4</f>
        <v>1287.8399999999999</v>
      </c>
      <c r="L126" s="552">
        <f t="shared" si="58"/>
        <v>1285.92</v>
      </c>
      <c r="M126" s="552">
        <f t="shared" si="58"/>
        <v>66.239999999999995</v>
      </c>
      <c r="N126" s="500">
        <f>$F126*N$4</f>
        <v>0</v>
      </c>
    </row>
    <row r="127" spans="4:14" ht="16.5" thickBot="1">
      <c r="D127" s="436"/>
      <c r="E127" s="329"/>
      <c r="F127" s="497"/>
      <c r="G127" s="558"/>
      <c r="H127" s="497"/>
      <c r="I127" s="403"/>
      <c r="J127" s="553"/>
      <c r="K127" s="553"/>
      <c r="L127" s="553"/>
      <c r="M127" s="553"/>
      <c r="N127" s="501"/>
    </row>
    <row r="128" spans="4:14" ht="16.5" thickTop="1">
      <c r="D128" s="421" t="s">
        <v>17</v>
      </c>
      <c r="E128" s="39"/>
      <c r="F128" s="39"/>
      <c r="G128" s="531">
        <f>44*120</f>
        <v>5280</v>
      </c>
      <c r="H128" s="39"/>
      <c r="I128" s="21"/>
      <c r="J128" s="552">
        <f>$G128*J5</f>
        <v>2376</v>
      </c>
      <c r="K128" s="552">
        <f t="shared" ref="K128:M128" si="59">$G128*K5</f>
        <v>1416.6239999999998</v>
      </c>
      <c r="L128" s="552">
        <f t="shared" si="59"/>
        <v>1414.5120000000002</v>
      </c>
      <c r="M128" s="552">
        <f t="shared" si="59"/>
        <v>72.864000000000004</v>
      </c>
      <c r="N128" s="559">
        <f>$F128*N$4</f>
        <v>0</v>
      </c>
    </row>
    <row r="129" spans="4:14" ht="16.5" thickBot="1">
      <c r="D129" s="422"/>
      <c r="E129" s="22"/>
      <c r="F129" s="22"/>
      <c r="G129" s="532"/>
      <c r="H129" s="22"/>
      <c r="I129" s="21"/>
      <c r="J129" s="553"/>
      <c r="K129" s="553"/>
      <c r="L129" s="553"/>
      <c r="M129" s="553"/>
      <c r="N129" s="560"/>
    </row>
    <row r="130" spans="4:14" ht="17.25" thickTop="1" thickBot="1">
      <c r="D130" s="435" t="s">
        <v>22</v>
      </c>
      <c r="E130" s="496"/>
      <c r="F130" s="496"/>
      <c r="G130" s="557">
        <f>37*120</f>
        <v>4440</v>
      </c>
      <c r="H130" s="496"/>
      <c r="I130" s="21"/>
      <c r="J130" s="552">
        <f>$G130*J$5</f>
        <v>1998</v>
      </c>
      <c r="K130" s="552">
        <f t="shared" ref="K130:M130" si="60">$G130*K$5</f>
        <v>1191.252</v>
      </c>
      <c r="L130" s="552">
        <f t="shared" si="60"/>
        <v>1189.4760000000001</v>
      </c>
      <c r="M130" s="552">
        <f t="shared" si="60"/>
        <v>61.271999999999998</v>
      </c>
      <c r="N130" s="500">
        <f>$F130*N$4</f>
        <v>0</v>
      </c>
    </row>
    <row r="131" spans="4:14" ht="16.5" thickTop="1">
      <c r="D131" s="489"/>
      <c r="E131" s="497"/>
      <c r="F131" s="497"/>
      <c r="G131" s="558"/>
      <c r="H131" s="497"/>
      <c r="I131" s="25"/>
      <c r="J131" s="553"/>
      <c r="K131" s="553"/>
      <c r="L131" s="553"/>
      <c r="M131" s="553"/>
      <c r="N131" s="500"/>
    </row>
    <row r="132" spans="4:14">
      <c r="D132" s="623" t="s">
        <v>93</v>
      </c>
      <c r="E132" s="38"/>
      <c r="F132" s="583">
        <v>0</v>
      </c>
      <c r="G132" s="39"/>
      <c r="H132" s="39"/>
      <c r="I132" s="21"/>
      <c r="J132" s="434">
        <f>$F132*J$4</f>
        <v>0</v>
      </c>
      <c r="K132" s="434">
        <f t="shared" ref="K132:N132" si="61">$F132*K$4</f>
        <v>0</v>
      </c>
      <c r="L132" s="434">
        <f t="shared" si="61"/>
        <v>0</v>
      </c>
      <c r="M132" s="434">
        <f t="shared" si="61"/>
        <v>0</v>
      </c>
      <c r="N132" s="434">
        <f t="shared" si="61"/>
        <v>0</v>
      </c>
    </row>
    <row r="133" spans="4:14" ht="16.5" thickBot="1">
      <c r="D133" s="616"/>
      <c r="E133" s="38"/>
      <c r="F133" s="618"/>
      <c r="G133" s="39"/>
      <c r="H133" s="39"/>
      <c r="I133" s="21"/>
      <c r="J133" s="622"/>
      <c r="K133" s="622"/>
      <c r="L133" s="622"/>
      <c r="M133" s="622"/>
      <c r="N133" s="622"/>
    </row>
    <row r="134" spans="4:14" ht="16.5" thickTop="1">
      <c r="D134" s="619" t="s">
        <v>94</v>
      </c>
      <c r="E134" s="496"/>
      <c r="F134" s="582">
        <v>0</v>
      </c>
      <c r="G134" s="496"/>
      <c r="H134" s="397"/>
      <c r="I134" s="402"/>
      <c r="J134" s="574">
        <f>$F134*J128</f>
        <v>0</v>
      </c>
      <c r="K134" s="574">
        <f>$F134*K128</f>
        <v>0</v>
      </c>
      <c r="L134" s="574">
        <f>$F134*L128</f>
        <v>0</v>
      </c>
      <c r="M134" s="574">
        <f>$F134*M128</f>
        <v>0</v>
      </c>
      <c r="N134" s="574">
        <f>$F134*N128</f>
        <v>0</v>
      </c>
    </row>
    <row r="135" spans="4:14">
      <c r="D135" s="620"/>
      <c r="E135" s="497"/>
      <c r="F135" s="621"/>
      <c r="G135" s="497"/>
      <c r="H135" s="398"/>
      <c r="I135" s="403"/>
      <c r="J135" s="434"/>
      <c r="K135" s="434"/>
      <c r="L135" s="434"/>
      <c r="M135" s="434"/>
      <c r="N135" s="434"/>
    </row>
    <row r="136" spans="4:14">
      <c r="D136" s="615" t="s">
        <v>93</v>
      </c>
      <c r="E136" s="495"/>
      <c r="F136" s="583">
        <f>12*120</f>
        <v>1440</v>
      </c>
      <c r="G136" s="39"/>
      <c r="H136" s="27"/>
      <c r="I136" s="403"/>
      <c r="J136" s="433">
        <f>$F136*J$4</f>
        <v>648</v>
      </c>
      <c r="K136" s="433">
        <f t="shared" ref="K136:N136" si="62">$F136*K$4</f>
        <v>386.35199999999998</v>
      </c>
      <c r="L136" s="433">
        <f t="shared" si="62"/>
        <v>385.77600000000007</v>
      </c>
      <c r="M136" s="433">
        <f t="shared" si="62"/>
        <v>19.872</v>
      </c>
      <c r="N136" s="433">
        <f t="shared" si="62"/>
        <v>10.656000000000001</v>
      </c>
    </row>
    <row r="137" spans="4:14" ht="16.5" thickBot="1">
      <c r="D137" s="616"/>
      <c r="E137" s="612"/>
      <c r="F137" s="618"/>
      <c r="G137" s="22"/>
      <c r="H137" s="22"/>
      <c r="I137" s="404"/>
      <c r="J137" s="622"/>
      <c r="K137" s="622"/>
      <c r="L137" s="622"/>
      <c r="M137" s="622"/>
      <c r="N137" s="622"/>
    </row>
    <row r="138" spans="4:14" ht="16.5" thickTop="1">
      <c r="D138" s="619" t="s">
        <v>94</v>
      </c>
      <c r="E138" s="496"/>
      <c r="F138" s="582">
        <f>46*120</f>
        <v>5520</v>
      </c>
      <c r="G138" s="496"/>
      <c r="H138" s="397"/>
      <c r="I138" s="402"/>
      <c r="J138" s="574">
        <f>$F138*$J$4</f>
        <v>2484</v>
      </c>
      <c r="K138" s="574">
        <f t="shared" ref="K138:N138" si="63">$F138*$J$4</f>
        <v>2484</v>
      </c>
      <c r="L138" s="574">
        <f t="shared" si="63"/>
        <v>2484</v>
      </c>
      <c r="M138" s="574">
        <f t="shared" si="63"/>
        <v>2484</v>
      </c>
      <c r="N138" s="574">
        <f t="shared" si="63"/>
        <v>2484</v>
      </c>
    </row>
    <row r="139" spans="4:14">
      <c r="D139" s="620"/>
      <c r="E139" s="497"/>
      <c r="F139" s="621"/>
      <c r="G139" s="497"/>
      <c r="H139" s="398"/>
      <c r="I139" s="403"/>
      <c r="J139" s="434"/>
      <c r="K139" s="434"/>
      <c r="L139" s="434"/>
      <c r="M139" s="434"/>
      <c r="N139" s="434"/>
    </row>
    <row r="140" spans="4:14">
      <c r="D140" s="615" t="s">
        <v>93</v>
      </c>
      <c r="E140" s="495"/>
      <c r="F140" s="583">
        <f>40*120</f>
        <v>4800</v>
      </c>
      <c r="G140" s="39"/>
      <c r="H140" s="27"/>
      <c r="I140" s="403"/>
      <c r="J140" s="433">
        <f>$F140*J$4</f>
        <v>2160</v>
      </c>
      <c r="K140" s="433">
        <f t="shared" ref="K140:N140" si="64">$F140*K$4</f>
        <v>1287.8399999999999</v>
      </c>
      <c r="L140" s="433">
        <f t="shared" si="64"/>
        <v>1285.92</v>
      </c>
      <c r="M140" s="433">
        <f t="shared" si="64"/>
        <v>66.239999999999995</v>
      </c>
      <c r="N140" s="433">
        <f t="shared" si="64"/>
        <v>35.520000000000003</v>
      </c>
    </row>
    <row r="141" spans="4:14" ht="16.5" thickBot="1">
      <c r="D141" s="616"/>
      <c r="E141" s="612"/>
      <c r="F141" s="618"/>
      <c r="G141" s="22"/>
      <c r="H141" s="22"/>
      <c r="I141" s="404"/>
      <c r="J141" s="622"/>
      <c r="K141" s="622"/>
      <c r="L141" s="622"/>
      <c r="M141" s="622"/>
      <c r="N141" s="622"/>
    </row>
    <row r="142" spans="4:14" ht="16.5" thickTop="1">
      <c r="D142" s="619" t="s">
        <v>94</v>
      </c>
      <c r="E142" s="496"/>
      <c r="F142" s="582">
        <f>47*120</f>
        <v>5640</v>
      </c>
      <c r="G142" s="496"/>
      <c r="H142" s="397"/>
      <c r="I142" s="402"/>
      <c r="J142" s="574">
        <f>$F142*$J$4</f>
        <v>2538</v>
      </c>
      <c r="K142" s="574">
        <f t="shared" ref="K142:N142" si="65">$F142*$J$4</f>
        <v>2538</v>
      </c>
      <c r="L142" s="574">
        <f t="shared" si="65"/>
        <v>2538</v>
      </c>
      <c r="M142" s="574">
        <f t="shared" si="65"/>
        <v>2538</v>
      </c>
      <c r="N142" s="574">
        <f t="shared" si="65"/>
        <v>2538</v>
      </c>
    </row>
    <row r="143" spans="4:14">
      <c r="D143" s="620"/>
      <c r="E143" s="497"/>
      <c r="F143" s="621"/>
      <c r="G143" s="497"/>
      <c r="H143" s="398"/>
      <c r="I143" s="403"/>
      <c r="J143" s="434"/>
      <c r="K143" s="434"/>
      <c r="L143" s="434"/>
      <c r="M143" s="434"/>
      <c r="N143" s="434"/>
    </row>
    <row r="144" spans="4:14">
      <c r="D144" s="615" t="s">
        <v>93</v>
      </c>
      <c r="E144" s="495"/>
      <c r="F144" s="583">
        <f>44*120</f>
        <v>5280</v>
      </c>
      <c r="G144" s="39"/>
      <c r="H144" s="27"/>
      <c r="I144" s="403"/>
      <c r="J144" s="433">
        <f>$F144*J$4</f>
        <v>2376</v>
      </c>
      <c r="K144" s="433">
        <f t="shared" ref="K144:N144" si="66">$F144*K$4</f>
        <v>1416.6239999999998</v>
      </c>
      <c r="L144" s="433">
        <f t="shared" si="66"/>
        <v>1414.5120000000002</v>
      </c>
      <c r="M144" s="433">
        <f t="shared" si="66"/>
        <v>72.864000000000004</v>
      </c>
      <c r="N144" s="433">
        <f t="shared" si="66"/>
        <v>39.072000000000003</v>
      </c>
    </row>
    <row r="145" spans="4:14" ht="16.5" thickBot="1">
      <c r="D145" s="616"/>
      <c r="E145" s="612"/>
      <c r="F145" s="618"/>
      <c r="G145" s="22"/>
      <c r="H145" s="22"/>
      <c r="I145" s="404"/>
      <c r="J145" s="622"/>
      <c r="K145" s="622"/>
      <c r="L145" s="622"/>
      <c r="M145" s="622"/>
      <c r="N145" s="622"/>
    </row>
    <row r="146" spans="4:14" ht="16.5" thickTop="1">
      <c r="D146" s="619" t="s">
        <v>94</v>
      </c>
      <c r="E146" s="496"/>
      <c r="F146" s="582">
        <f>46*120</f>
        <v>5520</v>
      </c>
      <c r="G146" s="496"/>
      <c r="H146" s="496"/>
      <c r="I146" s="21"/>
      <c r="J146" s="574">
        <f>$F146*$J$4</f>
        <v>2484</v>
      </c>
      <c r="K146" s="574">
        <f t="shared" ref="K146:N148" si="67">$F146*$J$4</f>
        <v>2484</v>
      </c>
      <c r="L146" s="574">
        <f t="shared" si="67"/>
        <v>2484</v>
      </c>
      <c r="M146" s="574">
        <f t="shared" si="67"/>
        <v>2484</v>
      </c>
      <c r="N146" s="574">
        <f t="shared" si="67"/>
        <v>2484</v>
      </c>
    </row>
    <row r="147" spans="4:14" ht="16.5" thickBot="1">
      <c r="D147" s="620"/>
      <c r="E147" s="497"/>
      <c r="F147" s="621"/>
      <c r="G147" s="497"/>
      <c r="H147" s="497"/>
      <c r="I147" s="21"/>
      <c r="J147" s="434"/>
      <c r="K147" s="434"/>
      <c r="L147" s="434"/>
      <c r="M147" s="434"/>
      <c r="N147" s="434"/>
    </row>
    <row r="148" spans="4:14" ht="16.5" thickTop="1">
      <c r="D148" s="615" t="s">
        <v>93</v>
      </c>
      <c r="E148" s="334"/>
      <c r="F148" s="617">
        <f>27*120</f>
        <v>3240</v>
      </c>
      <c r="G148" s="39"/>
      <c r="H148" s="39"/>
      <c r="I148" s="21"/>
      <c r="J148" s="574">
        <f>$F148*$J$4</f>
        <v>1458</v>
      </c>
      <c r="K148" s="574">
        <f t="shared" si="67"/>
        <v>1458</v>
      </c>
      <c r="L148" s="574">
        <f t="shared" si="67"/>
        <v>1458</v>
      </c>
      <c r="M148" s="574">
        <f t="shared" si="67"/>
        <v>1458</v>
      </c>
      <c r="N148" s="574">
        <f t="shared" si="67"/>
        <v>1458</v>
      </c>
    </row>
    <row r="149" spans="4:14" ht="16.5" thickBot="1">
      <c r="D149" s="616"/>
      <c r="E149" s="245"/>
      <c r="F149" s="618"/>
      <c r="G149" s="22"/>
      <c r="H149" s="22"/>
      <c r="I149" s="23"/>
      <c r="J149" s="434"/>
      <c r="K149" s="434"/>
      <c r="L149" s="434"/>
      <c r="M149" s="434"/>
      <c r="N149" s="434"/>
    </row>
    <row r="150" spans="4:14" ht="17.25" thickTop="1" thickBot="1">
      <c r="D150" s="421" t="s">
        <v>22</v>
      </c>
      <c r="E150" s="611"/>
      <c r="F150" s="497"/>
      <c r="G150" s="558">
        <f>37*120</f>
        <v>4440</v>
      </c>
      <c r="H150" s="39"/>
      <c r="I150" s="21"/>
      <c r="J150" s="533">
        <f>$G150*J$5</f>
        <v>1998</v>
      </c>
      <c r="K150" s="533">
        <f t="shared" ref="K150:M150" si="68">$G150*K$5</f>
        <v>1191.252</v>
      </c>
      <c r="L150" s="533">
        <f t="shared" si="68"/>
        <v>1189.4760000000001</v>
      </c>
      <c r="M150" s="533">
        <f t="shared" si="68"/>
        <v>61.271999999999998</v>
      </c>
      <c r="N150" s="43"/>
    </row>
    <row r="151" spans="4:14" ht="17.25" thickTop="1" thickBot="1">
      <c r="D151" s="422"/>
      <c r="E151" s="612"/>
      <c r="F151" s="613"/>
      <c r="G151" s="614"/>
      <c r="H151" s="22"/>
      <c r="I151" s="21"/>
      <c r="J151" s="534"/>
      <c r="K151" s="534"/>
      <c r="L151" s="534"/>
      <c r="M151" s="534"/>
      <c r="N151" s="136"/>
    </row>
    <row r="152" spans="4:14" ht="16.5" thickTop="1">
      <c r="D152" s="508" t="s">
        <v>17</v>
      </c>
      <c r="E152" s="496"/>
      <c r="F152" s="496"/>
      <c r="G152" s="557">
        <f>44*120</f>
        <v>5280</v>
      </c>
      <c r="H152" s="496"/>
      <c r="I152" s="403"/>
      <c r="J152" s="552">
        <f>$G152*J$5</f>
        <v>2376</v>
      </c>
      <c r="K152" s="552">
        <f t="shared" ref="K152:M152" si="69">$G152*K$5</f>
        <v>1416.6239999999998</v>
      </c>
      <c r="L152" s="552">
        <f t="shared" si="69"/>
        <v>1414.5120000000002</v>
      </c>
      <c r="M152" s="552">
        <f t="shared" si="69"/>
        <v>72.864000000000004</v>
      </c>
      <c r="N152" s="564">
        <f>$F152*N$4</f>
        <v>0</v>
      </c>
    </row>
    <row r="153" spans="4:14">
      <c r="D153" s="509"/>
      <c r="E153" s="497"/>
      <c r="F153" s="497"/>
      <c r="G153" s="610"/>
      <c r="H153" s="497"/>
      <c r="I153" s="403"/>
      <c r="J153" s="553"/>
      <c r="K153" s="553"/>
      <c r="L153" s="553"/>
      <c r="M153" s="553"/>
      <c r="N153" s="501"/>
    </row>
    <row r="154" spans="4:14">
      <c r="D154" s="421" t="s">
        <v>22</v>
      </c>
      <c r="E154" s="611"/>
      <c r="F154" s="497"/>
      <c r="G154" s="558">
        <f>47*120</f>
        <v>5640</v>
      </c>
      <c r="H154" s="39"/>
      <c r="I154" s="41"/>
      <c r="J154" s="533">
        <f>$G154*J$5</f>
        <v>2538</v>
      </c>
      <c r="K154" s="533">
        <f t="shared" ref="K154:M154" si="70">$G154*K$5</f>
        <v>1513.212</v>
      </c>
      <c r="L154" s="533">
        <f t="shared" si="70"/>
        <v>1510.9560000000001</v>
      </c>
      <c r="M154" s="533">
        <f t="shared" si="70"/>
        <v>77.831999999999994</v>
      </c>
      <c r="N154" s="559">
        <f>$F154*N$4</f>
        <v>0</v>
      </c>
    </row>
    <row r="155" spans="4:14" ht="16.5" thickBot="1">
      <c r="D155" s="422"/>
      <c r="E155" s="612"/>
      <c r="F155" s="613"/>
      <c r="G155" s="614"/>
      <c r="H155" s="22"/>
      <c r="I155" s="142"/>
      <c r="J155" s="534"/>
      <c r="K155" s="534"/>
      <c r="L155" s="534"/>
      <c r="M155" s="534"/>
      <c r="N155" s="500"/>
    </row>
    <row r="156" spans="4:14" ht="34.5" thickTop="1">
      <c r="D156" s="435" t="s">
        <v>17</v>
      </c>
      <c r="E156" s="336"/>
      <c r="F156" s="336"/>
      <c r="G156" s="557">
        <f>39*120</f>
        <v>4680</v>
      </c>
      <c r="H156" s="336"/>
      <c r="I156" s="335"/>
      <c r="J156" s="552">
        <f>$G156*J$5</f>
        <v>2106</v>
      </c>
      <c r="K156" s="552">
        <f t="shared" ref="K156:M156" si="71">$G156*K$5</f>
        <v>1255.644</v>
      </c>
      <c r="L156" s="552">
        <f t="shared" si="71"/>
        <v>1253.7720000000002</v>
      </c>
      <c r="M156" s="552">
        <f t="shared" si="71"/>
        <v>64.584000000000003</v>
      </c>
      <c r="N156" s="564"/>
    </row>
    <row r="157" spans="4:14" ht="33.75">
      <c r="D157" s="436"/>
      <c r="E157" s="336"/>
      <c r="F157" s="336"/>
      <c r="G157" s="610"/>
      <c r="H157" s="336"/>
      <c r="I157" s="335"/>
      <c r="J157" s="553"/>
      <c r="K157" s="553"/>
      <c r="L157" s="553"/>
      <c r="M157" s="553"/>
      <c r="N157" s="501"/>
    </row>
    <row r="158" spans="4:14">
      <c r="F158" s="5">
        <f>SUM(F126:F157)</f>
        <v>31440</v>
      </c>
      <c r="G158" s="5">
        <f>SUM(G126:G157)</f>
        <v>34560</v>
      </c>
      <c r="J158" s="5">
        <f>SUM(J126:J157)</f>
        <v>29700</v>
      </c>
      <c r="K158" s="5">
        <f t="shared" ref="K158:M158" si="72">SUM(K126:K157)</f>
        <v>21327.263999999999</v>
      </c>
      <c r="L158" s="5">
        <f t="shared" si="72"/>
        <v>21308.831999999999</v>
      </c>
      <c r="M158" s="5">
        <f t="shared" si="72"/>
        <v>9599.9040000000005</v>
      </c>
    </row>
  </sheetData>
  <mergeCells count="569">
    <mergeCell ref="Q26:Q29"/>
    <mergeCell ref="R26:R29"/>
    <mergeCell ref="O10:O11"/>
    <mergeCell ref="P10:P13"/>
    <mergeCell ref="Q10:Q13"/>
    <mergeCell ref="J28:J29"/>
    <mergeCell ref="K28:K29"/>
    <mergeCell ref="L28:L29"/>
    <mergeCell ref="M28:M29"/>
    <mergeCell ref="L10:L11"/>
    <mergeCell ref="M10:M11"/>
    <mergeCell ref="U11:U13"/>
    <mergeCell ref="S10:S13"/>
    <mergeCell ref="T10:T13"/>
    <mergeCell ref="R10:R13"/>
    <mergeCell ref="K74:K75"/>
    <mergeCell ref="L74:L75"/>
    <mergeCell ref="D14:D15"/>
    <mergeCell ref="E14:E15"/>
    <mergeCell ref="F14:F15"/>
    <mergeCell ref="G14:G15"/>
    <mergeCell ref="H14:H15"/>
    <mergeCell ref="J14:J15"/>
    <mergeCell ref="H10:H11"/>
    <mergeCell ref="J10:J11"/>
    <mergeCell ref="J74:J75"/>
    <mergeCell ref="K14:K15"/>
    <mergeCell ref="B74:D75"/>
    <mergeCell ref="K12:K13"/>
    <mergeCell ref="L12:L13"/>
    <mergeCell ref="M12:M13"/>
    <mergeCell ref="B14:B17"/>
    <mergeCell ref="C14:C15"/>
    <mergeCell ref="J12:J13"/>
    <mergeCell ref="C16:C17"/>
    <mergeCell ref="P30:P33"/>
    <mergeCell ref="Q30:Q33"/>
    <mergeCell ref="R30:R33"/>
    <mergeCell ref="J32:J33"/>
    <mergeCell ref="K32:K33"/>
    <mergeCell ref="T81:V81"/>
    <mergeCell ref="T82:V82"/>
    <mergeCell ref="P14:P17"/>
    <mergeCell ref="M74:M75"/>
    <mergeCell ref="N74:N75"/>
    <mergeCell ref="S77:T77"/>
    <mergeCell ref="M14:M15"/>
    <mergeCell ref="N14:N15"/>
    <mergeCell ref="L14:L15"/>
    <mergeCell ref="S30:S33"/>
    <mergeCell ref="T30:T33"/>
    <mergeCell ref="U31:U33"/>
    <mergeCell ref="L32:L33"/>
    <mergeCell ref="M32:M33"/>
    <mergeCell ref="N32:N33"/>
    <mergeCell ref="U35:U37"/>
    <mergeCell ref="T38:T41"/>
    <mergeCell ref="U39:U41"/>
    <mergeCell ref="P26:P29"/>
    <mergeCell ref="N26:N27"/>
    <mergeCell ref="O26:O29"/>
    <mergeCell ref="N28:N29"/>
    <mergeCell ref="J30:J31"/>
    <mergeCell ref="K30:K31"/>
    <mergeCell ref="L30:L31"/>
    <mergeCell ref="M30:M31"/>
    <mergeCell ref="N30:N31"/>
    <mergeCell ref="O30:O33"/>
    <mergeCell ref="B10:B13"/>
    <mergeCell ref="C10:C11"/>
    <mergeCell ref="D10:D11"/>
    <mergeCell ref="F10:F11"/>
    <mergeCell ref="G10:G11"/>
    <mergeCell ref="C12:C13"/>
    <mergeCell ref="D12:D13"/>
    <mergeCell ref="G12:G13"/>
    <mergeCell ref="N10:N11"/>
    <mergeCell ref="N12:N13"/>
    <mergeCell ref="K10:K11"/>
    <mergeCell ref="U27:U29"/>
    <mergeCell ref="C28:C29"/>
    <mergeCell ref="D28:D29"/>
    <mergeCell ref="S22:S25"/>
    <mergeCell ref="L22:L23"/>
    <mergeCell ref="M22:M23"/>
    <mergeCell ref="N22:N23"/>
    <mergeCell ref="L24:L25"/>
    <mergeCell ref="M24:M25"/>
    <mergeCell ref="N24:N25"/>
    <mergeCell ref="Q22:Q25"/>
    <mergeCell ref="R22:R25"/>
    <mergeCell ref="T22:T25"/>
    <mergeCell ref="U23:U25"/>
    <mergeCell ref="C24:C25"/>
    <mergeCell ref="D24:D25"/>
    <mergeCell ref="O22:O25"/>
    <mergeCell ref="S26:S29"/>
    <mergeCell ref="T26:T29"/>
    <mergeCell ref="H26:H27"/>
    <mergeCell ref="J26:J27"/>
    <mergeCell ref="K26:K27"/>
    <mergeCell ref="L26:L27"/>
    <mergeCell ref="M26:M27"/>
    <mergeCell ref="U19:U21"/>
    <mergeCell ref="T18:T21"/>
    <mergeCell ref="P18:P21"/>
    <mergeCell ref="Q18:Q21"/>
    <mergeCell ref="P22:P25"/>
    <mergeCell ref="B22:B25"/>
    <mergeCell ref="C22:C23"/>
    <mergeCell ref="M20:M21"/>
    <mergeCell ref="J24:J25"/>
    <mergeCell ref="K24:K25"/>
    <mergeCell ref="B18:B21"/>
    <mergeCell ref="C18:C19"/>
    <mergeCell ref="J20:J21"/>
    <mergeCell ref="K20:K21"/>
    <mergeCell ref="L20:L21"/>
    <mergeCell ref="Q14:Q17"/>
    <mergeCell ref="R14:R17"/>
    <mergeCell ref="S14:S17"/>
    <mergeCell ref="T14:T17"/>
    <mergeCell ref="R18:R21"/>
    <mergeCell ref="S18:S21"/>
    <mergeCell ref="D22:D23"/>
    <mergeCell ref="E22:E23"/>
    <mergeCell ref="F22:F23"/>
    <mergeCell ref="G22:G23"/>
    <mergeCell ref="H22:H23"/>
    <mergeCell ref="I22:I25"/>
    <mergeCell ref="J22:J23"/>
    <mergeCell ref="A18:A21"/>
    <mergeCell ref="C20:C21"/>
    <mergeCell ref="D20:D21"/>
    <mergeCell ref="F20:F21"/>
    <mergeCell ref="N20:N21"/>
    <mergeCell ref="D16:N19"/>
    <mergeCell ref="Q1:X1"/>
    <mergeCell ref="A10:A13"/>
    <mergeCell ref="A14:A17"/>
    <mergeCell ref="I8:I9"/>
    <mergeCell ref="I10:I11"/>
    <mergeCell ref="G3:H3"/>
    <mergeCell ref="G4:H4"/>
    <mergeCell ref="G5:H5"/>
    <mergeCell ref="V8:AB8"/>
    <mergeCell ref="R8:R9"/>
    <mergeCell ref="S8:T8"/>
    <mergeCell ref="G6:H6"/>
    <mergeCell ref="B8:B9"/>
    <mergeCell ref="C8:C9"/>
    <mergeCell ref="D8:D9"/>
    <mergeCell ref="E8:H8"/>
    <mergeCell ref="J8:N8"/>
    <mergeCell ref="O8:O9"/>
    <mergeCell ref="A22:A25"/>
    <mergeCell ref="K22:K23"/>
    <mergeCell ref="E24:E25"/>
    <mergeCell ref="F24:F25"/>
    <mergeCell ref="A26:A29"/>
    <mergeCell ref="B26:B29"/>
    <mergeCell ref="C26:C27"/>
    <mergeCell ref="D26:D27"/>
    <mergeCell ref="E26:E27"/>
    <mergeCell ref="F26:F27"/>
    <mergeCell ref="G26:G27"/>
    <mergeCell ref="I26:I29"/>
    <mergeCell ref="E28:E29"/>
    <mergeCell ref="F28:F29"/>
    <mergeCell ref="A30:A33"/>
    <mergeCell ref="B30:B33"/>
    <mergeCell ref="C30:C31"/>
    <mergeCell ref="D30:D31"/>
    <mergeCell ref="E30:E31"/>
    <mergeCell ref="F30:F31"/>
    <mergeCell ref="G30:G31"/>
    <mergeCell ref="H30:H31"/>
    <mergeCell ref="I30:I33"/>
    <mergeCell ref="C32:C33"/>
    <mergeCell ref="D32:D33"/>
    <mergeCell ref="E32:E33"/>
    <mergeCell ref="F32:F33"/>
    <mergeCell ref="A34:A37"/>
    <mergeCell ref="B34:B37"/>
    <mergeCell ref="C34:C35"/>
    <mergeCell ref="D34:D35"/>
    <mergeCell ref="E34:E35"/>
    <mergeCell ref="F34:F35"/>
    <mergeCell ref="G34:G35"/>
    <mergeCell ref="H34:H35"/>
    <mergeCell ref="J34:J35"/>
    <mergeCell ref="C36:C37"/>
    <mergeCell ref="D36:D37"/>
    <mergeCell ref="F36:F37"/>
    <mergeCell ref="J36:J37"/>
    <mergeCell ref="K34:K35"/>
    <mergeCell ref="L34:L35"/>
    <mergeCell ref="M34:M35"/>
    <mergeCell ref="N34:N35"/>
    <mergeCell ref="P34:P37"/>
    <mergeCell ref="Q34:Q37"/>
    <mergeCell ref="R34:R37"/>
    <mergeCell ref="S34:S37"/>
    <mergeCell ref="T34:T37"/>
    <mergeCell ref="K36:K37"/>
    <mergeCell ref="L36:L37"/>
    <mergeCell ref="M36:M37"/>
    <mergeCell ref="N36:N37"/>
    <mergeCell ref="A38:A41"/>
    <mergeCell ref="B38:B41"/>
    <mergeCell ref="C38:C39"/>
    <mergeCell ref="D38:D39"/>
    <mergeCell ref="F38:F39"/>
    <mergeCell ref="G38:G39"/>
    <mergeCell ref="H38:H39"/>
    <mergeCell ref="J38:J39"/>
    <mergeCell ref="C40:C41"/>
    <mergeCell ref="D40:D41"/>
    <mergeCell ref="E40:E41"/>
    <mergeCell ref="F40:F41"/>
    <mergeCell ref="J40:J41"/>
    <mergeCell ref="I38:I41"/>
    <mergeCell ref="K38:K39"/>
    <mergeCell ref="L38:L39"/>
    <mergeCell ref="M38:M39"/>
    <mergeCell ref="N38:N39"/>
    <mergeCell ref="O38:O39"/>
    <mergeCell ref="P38:P41"/>
    <mergeCell ref="Q38:Q41"/>
    <mergeCell ref="R38:R41"/>
    <mergeCell ref="S38:S41"/>
    <mergeCell ref="K40:K41"/>
    <mergeCell ref="L40:L41"/>
    <mergeCell ref="M40:M41"/>
    <mergeCell ref="N40:N41"/>
    <mergeCell ref="A42:A45"/>
    <mergeCell ref="B42:B45"/>
    <mergeCell ref="C42:C43"/>
    <mergeCell ref="D42:D43"/>
    <mergeCell ref="E42:E43"/>
    <mergeCell ref="F42:F43"/>
    <mergeCell ref="G42:G43"/>
    <mergeCell ref="H42:H43"/>
    <mergeCell ref="J42:J43"/>
    <mergeCell ref="C44:C45"/>
    <mergeCell ref="B46:B49"/>
    <mergeCell ref="C46:C47"/>
    <mergeCell ref="K42:K43"/>
    <mergeCell ref="L42:L43"/>
    <mergeCell ref="M42:M43"/>
    <mergeCell ref="N42:N43"/>
    <mergeCell ref="P42:P45"/>
    <mergeCell ref="Q42:Q45"/>
    <mergeCell ref="R42:R45"/>
    <mergeCell ref="P46:P49"/>
    <mergeCell ref="Q46:Q49"/>
    <mergeCell ref="R46:R49"/>
    <mergeCell ref="S46:S49"/>
    <mergeCell ref="T46:T49"/>
    <mergeCell ref="U47:U49"/>
    <mergeCell ref="C48:C49"/>
    <mergeCell ref="D48:D49"/>
    <mergeCell ref="E48:E49"/>
    <mergeCell ref="F48:F49"/>
    <mergeCell ref="G48:G49"/>
    <mergeCell ref="H48:H49"/>
    <mergeCell ref="J48:J49"/>
    <mergeCell ref="K48:K49"/>
    <mergeCell ref="L48:L49"/>
    <mergeCell ref="M48:M49"/>
    <mergeCell ref="N48:N49"/>
    <mergeCell ref="D44:N47"/>
    <mergeCell ref="S42:S45"/>
    <mergeCell ref="T42:T45"/>
    <mergeCell ref="A50:A53"/>
    <mergeCell ref="B50:B53"/>
    <mergeCell ref="C50:C51"/>
    <mergeCell ref="D50:D51"/>
    <mergeCell ref="I50:I53"/>
    <mergeCell ref="J50:J51"/>
    <mergeCell ref="K50:K51"/>
    <mergeCell ref="L50:L51"/>
    <mergeCell ref="M50:M51"/>
    <mergeCell ref="N50:N51"/>
    <mergeCell ref="O50:O53"/>
    <mergeCell ref="P50:P53"/>
    <mergeCell ref="Q50:Q53"/>
    <mergeCell ref="R50:R53"/>
    <mergeCell ref="S50:S53"/>
    <mergeCell ref="T50:T53"/>
    <mergeCell ref="U51:U53"/>
    <mergeCell ref="C52:C53"/>
    <mergeCell ref="D52:D53"/>
    <mergeCell ref="J52:J53"/>
    <mergeCell ref="K52:K53"/>
    <mergeCell ref="L52:L53"/>
    <mergeCell ref="M52:M53"/>
    <mergeCell ref="N52:N53"/>
    <mergeCell ref="A54:A57"/>
    <mergeCell ref="B54:B57"/>
    <mergeCell ref="C54:C55"/>
    <mergeCell ref="D54:D55"/>
    <mergeCell ref="I54:I57"/>
    <mergeCell ref="J54:J55"/>
    <mergeCell ref="K54:K55"/>
    <mergeCell ref="L54:L55"/>
    <mergeCell ref="M54:M55"/>
    <mergeCell ref="N54:N55"/>
    <mergeCell ref="O54:O57"/>
    <mergeCell ref="P54:P57"/>
    <mergeCell ref="Q54:Q57"/>
    <mergeCell ref="R54:R57"/>
    <mergeCell ref="S54:S57"/>
    <mergeCell ref="T54:T57"/>
    <mergeCell ref="U55:U57"/>
    <mergeCell ref="C56:C57"/>
    <mergeCell ref="D56:D57"/>
    <mergeCell ref="J56:J57"/>
    <mergeCell ref="K56:K57"/>
    <mergeCell ref="L56:L57"/>
    <mergeCell ref="M56:M57"/>
    <mergeCell ref="N56:N57"/>
    <mergeCell ref="M58:M59"/>
    <mergeCell ref="N58:N59"/>
    <mergeCell ref="O58:O61"/>
    <mergeCell ref="P58:P61"/>
    <mergeCell ref="Q58:Q61"/>
    <mergeCell ref="R58:R61"/>
    <mergeCell ref="S58:S61"/>
    <mergeCell ref="B58:B61"/>
    <mergeCell ref="C58:C59"/>
    <mergeCell ref="D58:D59"/>
    <mergeCell ref="E58:E59"/>
    <mergeCell ref="F58:F59"/>
    <mergeCell ref="G58:G59"/>
    <mergeCell ref="H58:H59"/>
    <mergeCell ref="I58:I59"/>
    <mergeCell ref="J58:J59"/>
    <mergeCell ref="T58:T61"/>
    <mergeCell ref="U59:U61"/>
    <mergeCell ref="C60:C61"/>
    <mergeCell ref="D60:D61"/>
    <mergeCell ref="G60:G61"/>
    <mergeCell ref="B62:B65"/>
    <mergeCell ref="C62:C63"/>
    <mergeCell ref="D62:D63"/>
    <mergeCell ref="E62:E63"/>
    <mergeCell ref="F62:F63"/>
    <mergeCell ref="G62:G63"/>
    <mergeCell ref="H62:H63"/>
    <mergeCell ref="J62:J63"/>
    <mergeCell ref="K62:K63"/>
    <mergeCell ref="L62:L63"/>
    <mergeCell ref="M62:M63"/>
    <mergeCell ref="N62:N63"/>
    <mergeCell ref="P62:P65"/>
    <mergeCell ref="Q62:Q65"/>
    <mergeCell ref="R62:R65"/>
    <mergeCell ref="S62:S65"/>
    <mergeCell ref="T62:T65"/>
    <mergeCell ref="K58:K59"/>
    <mergeCell ref="L58:L59"/>
    <mergeCell ref="U63:U65"/>
    <mergeCell ref="C64:C65"/>
    <mergeCell ref="D64:D65"/>
    <mergeCell ref="E64:E65"/>
    <mergeCell ref="F64:F65"/>
    <mergeCell ref="G64:G65"/>
    <mergeCell ref="J64:J65"/>
    <mergeCell ref="K64:K65"/>
    <mergeCell ref="L64:L65"/>
    <mergeCell ref="M64:M65"/>
    <mergeCell ref="B66:B69"/>
    <mergeCell ref="C66:C67"/>
    <mergeCell ref="D66:D67"/>
    <mergeCell ref="E66:E67"/>
    <mergeCell ref="F66:F67"/>
    <mergeCell ref="G66:G67"/>
    <mergeCell ref="H66:H67"/>
    <mergeCell ref="I66:I67"/>
    <mergeCell ref="J66:J67"/>
    <mergeCell ref="T66:T69"/>
    <mergeCell ref="U67:U69"/>
    <mergeCell ref="C68:C69"/>
    <mergeCell ref="D68:D69"/>
    <mergeCell ref="E68:E69"/>
    <mergeCell ref="F68:F69"/>
    <mergeCell ref="G68:G69"/>
    <mergeCell ref="J68:J69"/>
    <mergeCell ref="K68:K69"/>
    <mergeCell ref="L68:L69"/>
    <mergeCell ref="M68:M69"/>
    <mergeCell ref="N68:N69"/>
    <mergeCell ref="K66:K67"/>
    <mergeCell ref="L66:L67"/>
    <mergeCell ref="M66:M67"/>
    <mergeCell ref="N66:N67"/>
    <mergeCell ref="O66:O67"/>
    <mergeCell ref="P66:P69"/>
    <mergeCell ref="Q66:Q69"/>
    <mergeCell ref="R66:R69"/>
    <mergeCell ref="S66:S69"/>
    <mergeCell ref="P70:P73"/>
    <mergeCell ref="Q70:Q73"/>
    <mergeCell ref="R70:R73"/>
    <mergeCell ref="S70:S73"/>
    <mergeCell ref="T70:T73"/>
    <mergeCell ref="C72:C73"/>
    <mergeCell ref="D72:N73"/>
    <mergeCell ref="B70:B73"/>
    <mergeCell ref="C70:C71"/>
    <mergeCell ref="D70:D71"/>
    <mergeCell ref="G70:G71"/>
    <mergeCell ref="J70:J71"/>
    <mergeCell ref="K70:K71"/>
    <mergeCell ref="L70:L71"/>
    <mergeCell ref="M70:M71"/>
    <mergeCell ref="N70:N71"/>
    <mergeCell ref="P74:P75"/>
    <mergeCell ref="D126:D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N126:N127"/>
    <mergeCell ref="G79:G80"/>
    <mergeCell ref="E76:H76"/>
    <mergeCell ref="D128:D129"/>
    <mergeCell ref="G128:G129"/>
    <mergeCell ref="J128:J129"/>
    <mergeCell ref="K128:K129"/>
    <mergeCell ref="L128:L129"/>
    <mergeCell ref="M128:M129"/>
    <mergeCell ref="N128:N129"/>
    <mergeCell ref="D130:D131"/>
    <mergeCell ref="E130:E131"/>
    <mergeCell ref="F130:F131"/>
    <mergeCell ref="G130:G131"/>
    <mergeCell ref="H130:H131"/>
    <mergeCell ref="J130:J131"/>
    <mergeCell ref="K130:K131"/>
    <mergeCell ref="L130:L131"/>
    <mergeCell ref="M130:M131"/>
    <mergeCell ref="N130:N131"/>
    <mergeCell ref="M132:M133"/>
    <mergeCell ref="N132:N133"/>
    <mergeCell ref="D134:D135"/>
    <mergeCell ref="E134:E135"/>
    <mergeCell ref="F134:F135"/>
    <mergeCell ref="G134:G135"/>
    <mergeCell ref="H134:H135"/>
    <mergeCell ref="I134:I137"/>
    <mergeCell ref="J134:J135"/>
    <mergeCell ref="K134:K135"/>
    <mergeCell ref="L134:L135"/>
    <mergeCell ref="M134:M135"/>
    <mergeCell ref="N134:N135"/>
    <mergeCell ref="D136:D137"/>
    <mergeCell ref="E136:E137"/>
    <mergeCell ref="F136:F137"/>
    <mergeCell ref="J136:J137"/>
    <mergeCell ref="K136:K137"/>
    <mergeCell ref="N136:N137"/>
    <mergeCell ref="D138:D139"/>
    <mergeCell ref="E138:E139"/>
    <mergeCell ref="F138:F139"/>
    <mergeCell ref="G138:G139"/>
    <mergeCell ref="H138:H139"/>
    <mergeCell ref="I138:I141"/>
    <mergeCell ref="J138:J139"/>
    <mergeCell ref="K138:K139"/>
    <mergeCell ref="L138:L139"/>
    <mergeCell ref="M138:M139"/>
    <mergeCell ref="N138:N139"/>
    <mergeCell ref="D140:D141"/>
    <mergeCell ref="E140:E141"/>
    <mergeCell ref="F140:F141"/>
    <mergeCell ref="J140:J141"/>
    <mergeCell ref="K140:K141"/>
    <mergeCell ref="L140:L141"/>
    <mergeCell ref="M140:M141"/>
    <mergeCell ref="N140:N141"/>
    <mergeCell ref="N142:N143"/>
    <mergeCell ref="D144:D145"/>
    <mergeCell ref="E144:E145"/>
    <mergeCell ref="F144:F145"/>
    <mergeCell ref="J144:J145"/>
    <mergeCell ref="K144:K145"/>
    <mergeCell ref="L144:L145"/>
    <mergeCell ref="M144:M145"/>
    <mergeCell ref="N144:N145"/>
    <mergeCell ref="D142:D143"/>
    <mergeCell ref="E142:E143"/>
    <mergeCell ref="F142:F143"/>
    <mergeCell ref="G142:G143"/>
    <mergeCell ref="H142:H143"/>
    <mergeCell ref="I142:I145"/>
    <mergeCell ref="J142:J143"/>
    <mergeCell ref="K142:K143"/>
    <mergeCell ref="L142:L143"/>
    <mergeCell ref="N146:N147"/>
    <mergeCell ref="D148:D149"/>
    <mergeCell ref="F148:F149"/>
    <mergeCell ref="J148:J149"/>
    <mergeCell ref="K148:K149"/>
    <mergeCell ref="L148:L149"/>
    <mergeCell ref="M148:M149"/>
    <mergeCell ref="N148:N149"/>
    <mergeCell ref="D146:D147"/>
    <mergeCell ref="E146:E147"/>
    <mergeCell ref="F146:F147"/>
    <mergeCell ref="G146:G147"/>
    <mergeCell ref="H146:H147"/>
    <mergeCell ref="J146:J147"/>
    <mergeCell ref="K146:K147"/>
    <mergeCell ref="L146:L147"/>
    <mergeCell ref="M146:M147"/>
    <mergeCell ref="N156:N157"/>
    <mergeCell ref="A70:A73"/>
    <mergeCell ref="A66:A69"/>
    <mergeCell ref="N152:N153"/>
    <mergeCell ref="D154:D155"/>
    <mergeCell ref="E154:E155"/>
    <mergeCell ref="F154:F155"/>
    <mergeCell ref="G154:G155"/>
    <mergeCell ref="J154:J155"/>
    <mergeCell ref="K154:K155"/>
    <mergeCell ref="L154:L155"/>
    <mergeCell ref="M154:M155"/>
    <mergeCell ref="N154:N155"/>
    <mergeCell ref="D150:D151"/>
    <mergeCell ref="E150:E151"/>
    <mergeCell ref="F150:F151"/>
    <mergeCell ref="G150:G151"/>
    <mergeCell ref="J150:J151"/>
    <mergeCell ref="K150:K151"/>
    <mergeCell ref="L150:L151"/>
    <mergeCell ref="M150:M151"/>
    <mergeCell ref="D152:D153"/>
    <mergeCell ref="E152:E153"/>
    <mergeCell ref="F152:F153"/>
    <mergeCell ref="A62:A65"/>
    <mergeCell ref="A58:A61"/>
    <mergeCell ref="A46:A49"/>
    <mergeCell ref="D156:D157"/>
    <mergeCell ref="G156:G157"/>
    <mergeCell ref="J156:J157"/>
    <mergeCell ref="K156:K157"/>
    <mergeCell ref="L156:L157"/>
    <mergeCell ref="M156:M157"/>
    <mergeCell ref="G152:G153"/>
    <mergeCell ref="H152:H153"/>
    <mergeCell ref="I152:I153"/>
    <mergeCell ref="J152:J153"/>
    <mergeCell ref="K152:K153"/>
    <mergeCell ref="L152:L153"/>
    <mergeCell ref="M152:M153"/>
    <mergeCell ref="M142:M143"/>
    <mergeCell ref="L136:L137"/>
    <mergeCell ref="M136:M137"/>
    <mergeCell ref="D132:D133"/>
    <mergeCell ref="F132:F133"/>
    <mergeCell ref="J132:J133"/>
    <mergeCell ref="K132:K133"/>
    <mergeCell ref="L132:L133"/>
  </mergeCells>
  <pageMargins left="0.31496062992125984" right="0.32" top="0.43307086614173229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TRS Hebdo</vt:lpstr>
      <vt:lpstr>22 mai - 31 mai </vt:lpstr>
      <vt:lpstr>01 mai - 30 juin </vt:lpstr>
      <vt:lpstr>01 Juil - 16 Juil  </vt:lpstr>
      <vt:lpstr>'TRS Hebdo'!Zone_d_impression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A.AFOUKASS</cp:lastModifiedBy>
  <cp:lastPrinted>2017-07-05T10:44:00Z</cp:lastPrinted>
  <dcterms:created xsi:type="dcterms:W3CDTF">2017-05-29T15:35:26Z</dcterms:created>
  <dcterms:modified xsi:type="dcterms:W3CDTF">2021-08-20T08:13:41Z</dcterms:modified>
</cp:coreProperties>
</file>