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23415" windowHeight="9690" tabRatio="834" activeTab="1"/>
  </bookViews>
  <sheets>
    <sheet name="TRS Hebdo" sheetId="4" r:id="rId1"/>
    <sheet name="22 mai - 28 mai " sheetId="2" r:id="rId2"/>
    <sheet name="29 mai - 04 juin " sheetId="3" r:id="rId3"/>
    <sheet name="05 Juin - 11 Juin " sheetId="5" r:id="rId4"/>
    <sheet name="12 Juin - 18 Juin " sheetId="6" r:id="rId5"/>
    <sheet name="19 Juin - 25 Juin" sheetId="7" r:id="rId6"/>
    <sheet name="26 Juin - 02 Juil  " sheetId="8" r:id="rId7"/>
    <sheet name="03 Juil - 09 Juil" sheetId="10" r:id="rId8"/>
    <sheet name="10 Juil - 16 Juil " sheetId="12" r:id="rId9"/>
    <sheet name="Feuil2" sheetId="11" r:id="rId10"/>
  </sheets>
  <definedNames>
    <definedName name="_xlnm.Print_Area" localSheetId="9">Feuil2!$A$1:$AF$27</definedName>
    <definedName name="_xlnm.Print_Area" localSheetId="0">'TRS Hebdo'!$A$1:$Y$52</definedName>
  </definedNames>
  <calcPr calcId="124519"/>
</workbook>
</file>

<file path=xl/calcChain.xml><?xml version="1.0" encoding="utf-8"?>
<calcChain xmlns="http://schemas.openxmlformats.org/spreadsheetml/2006/main">
  <c r="L51" i="4"/>
  <c r="L50"/>
  <c r="L49"/>
  <c r="L48"/>
  <c r="L47"/>
  <c r="L46"/>
  <c r="L45"/>
  <c r="L44"/>
  <c r="L43"/>
  <c r="L42"/>
  <c r="E47" i="7"/>
  <c r="E47" i="12"/>
  <c r="E46"/>
  <c r="AC39"/>
  <c r="AC42"/>
  <c r="M34"/>
  <c r="L34"/>
  <c r="K34"/>
  <c r="J34"/>
  <c r="K32"/>
  <c r="L32"/>
  <c r="M32"/>
  <c r="J32"/>
  <c r="K30"/>
  <c r="L30"/>
  <c r="M30"/>
  <c r="J30"/>
  <c r="K28"/>
  <c r="L28"/>
  <c r="M28"/>
  <c r="J28"/>
  <c r="G34"/>
  <c r="P34" s="1"/>
  <c r="S34" s="1"/>
  <c r="T34" s="1"/>
  <c r="G32"/>
  <c r="G30"/>
  <c r="G28"/>
  <c r="AB39"/>
  <c r="AB42" s="1"/>
  <c r="AA39"/>
  <c r="AA42" s="1"/>
  <c r="Z39"/>
  <c r="Z42" s="1"/>
  <c r="Y39"/>
  <c r="Y42" s="1"/>
  <c r="X39"/>
  <c r="X42" s="1"/>
  <c r="W39"/>
  <c r="W42" s="1"/>
  <c r="V39"/>
  <c r="U42" s="1"/>
  <c r="O39"/>
  <c r="H39"/>
  <c r="F39"/>
  <c r="N36"/>
  <c r="M36"/>
  <c r="L36"/>
  <c r="K36"/>
  <c r="J36"/>
  <c r="N32"/>
  <c r="N30"/>
  <c r="P30"/>
  <c r="E39"/>
  <c r="P26"/>
  <c r="S26" s="1"/>
  <c r="T26" s="1"/>
  <c r="L26"/>
  <c r="J26"/>
  <c r="M26"/>
  <c r="L25"/>
  <c r="J25"/>
  <c r="M25"/>
  <c r="N24"/>
  <c r="M24"/>
  <c r="L24"/>
  <c r="K24"/>
  <c r="J24"/>
  <c r="P22"/>
  <c r="S22" s="1"/>
  <c r="T22" s="1"/>
  <c r="N22"/>
  <c r="M22"/>
  <c r="L22"/>
  <c r="K22"/>
  <c r="J22"/>
  <c r="N20"/>
  <c r="M20"/>
  <c r="L20"/>
  <c r="K20"/>
  <c r="J20"/>
  <c r="P18"/>
  <c r="S18" s="1"/>
  <c r="T18" s="1"/>
  <c r="N18"/>
  <c r="M18"/>
  <c r="L18"/>
  <c r="K18"/>
  <c r="J18"/>
  <c r="N16"/>
  <c r="M16"/>
  <c r="L16"/>
  <c r="K16"/>
  <c r="J16"/>
  <c r="P14"/>
  <c r="S14" s="1"/>
  <c r="T14" s="1"/>
  <c r="N14"/>
  <c r="M14"/>
  <c r="L14"/>
  <c r="K14"/>
  <c r="J14"/>
  <c r="N12"/>
  <c r="M12"/>
  <c r="L12"/>
  <c r="K12"/>
  <c r="J12"/>
  <c r="P10"/>
  <c r="S10" s="1"/>
  <c r="T10" s="1"/>
  <c r="G6"/>
  <c r="D6"/>
  <c r="G5"/>
  <c r="G4"/>
  <c r="G3"/>
  <c r="M2"/>
  <c r="L2"/>
  <c r="K2"/>
  <c r="J2"/>
  <c r="K51" i="4"/>
  <c r="K42"/>
  <c r="K50"/>
  <c r="K49"/>
  <c r="K48"/>
  <c r="K47"/>
  <c r="K46"/>
  <c r="K45"/>
  <c r="K44"/>
  <c r="K43"/>
  <c r="P14" i="10"/>
  <c r="P18"/>
  <c r="K34"/>
  <c r="L34"/>
  <c r="M34"/>
  <c r="N34"/>
  <c r="J34"/>
  <c r="K30"/>
  <c r="L30"/>
  <c r="M30"/>
  <c r="N30"/>
  <c r="J30"/>
  <c r="N32"/>
  <c r="M32"/>
  <c r="L32"/>
  <c r="K32"/>
  <c r="J32"/>
  <c r="N12"/>
  <c r="M12"/>
  <c r="L12"/>
  <c r="K12"/>
  <c r="J12"/>
  <c r="J16"/>
  <c r="K14"/>
  <c r="L14"/>
  <c r="M14"/>
  <c r="N14"/>
  <c r="J14"/>
  <c r="N16"/>
  <c r="M16"/>
  <c r="L16"/>
  <c r="K16"/>
  <c r="F16"/>
  <c r="F18"/>
  <c r="L18" s="1"/>
  <c r="F20"/>
  <c r="M20" s="1"/>
  <c r="F22"/>
  <c r="L22" s="1"/>
  <c r="F28"/>
  <c r="N28" s="1"/>
  <c r="AE37"/>
  <c r="AE13"/>
  <c r="K18"/>
  <c r="M18"/>
  <c r="J18"/>
  <c r="N20"/>
  <c r="L20"/>
  <c r="J20"/>
  <c r="K26"/>
  <c r="L26"/>
  <c r="M26"/>
  <c r="N26"/>
  <c r="J26"/>
  <c r="M28"/>
  <c r="L28"/>
  <c r="K28"/>
  <c r="J28"/>
  <c r="K24"/>
  <c r="L24"/>
  <c r="M24"/>
  <c r="N24"/>
  <c r="J24"/>
  <c r="K22"/>
  <c r="M22"/>
  <c r="J22"/>
  <c r="F39"/>
  <c r="F26"/>
  <c r="F24"/>
  <c r="F42" i="7"/>
  <c r="F42" i="6"/>
  <c r="E41" i="5"/>
  <c r="M34"/>
  <c r="L34"/>
  <c r="K34"/>
  <c r="J34"/>
  <c r="M32"/>
  <c r="L32"/>
  <c r="K32"/>
  <c r="J32"/>
  <c r="F41"/>
  <c r="AC39" i="10"/>
  <c r="AC42" s="1"/>
  <c r="AB39"/>
  <c r="AB42" s="1"/>
  <c r="AA39"/>
  <c r="AA42" s="1"/>
  <c r="Z39"/>
  <c r="Z42" s="1"/>
  <c r="Y39"/>
  <c r="Y42" s="1"/>
  <c r="X39"/>
  <c r="X42" s="1"/>
  <c r="W39"/>
  <c r="E46" s="1"/>
  <c r="V39"/>
  <c r="V42" s="1"/>
  <c r="O39"/>
  <c r="H39"/>
  <c r="E39"/>
  <c r="N36"/>
  <c r="M36"/>
  <c r="L36"/>
  <c r="K36"/>
  <c r="J36"/>
  <c r="P34"/>
  <c r="P30"/>
  <c r="P26"/>
  <c r="S26" s="1"/>
  <c r="T26" s="1"/>
  <c r="P22"/>
  <c r="S22" s="1"/>
  <c r="T22" s="1"/>
  <c r="G39"/>
  <c r="S18"/>
  <c r="T18" s="1"/>
  <c r="Q14"/>
  <c r="U15" s="1"/>
  <c r="P10"/>
  <c r="S10" s="1"/>
  <c r="T10" s="1"/>
  <c r="G6"/>
  <c r="D6"/>
  <c r="G5"/>
  <c r="G4"/>
  <c r="G3"/>
  <c r="M2"/>
  <c r="L2"/>
  <c r="K2"/>
  <c r="J2"/>
  <c r="J38" i="8"/>
  <c r="G32"/>
  <c r="J32" s="1"/>
  <c r="J20"/>
  <c r="J22"/>
  <c r="J24"/>
  <c r="J26"/>
  <c r="J28"/>
  <c r="J30"/>
  <c r="J34"/>
  <c r="J36"/>
  <c r="M34"/>
  <c r="L34"/>
  <c r="K34"/>
  <c r="L32"/>
  <c r="M32"/>
  <c r="K33"/>
  <c r="L33"/>
  <c r="M33"/>
  <c r="K28"/>
  <c r="L28"/>
  <c r="M28"/>
  <c r="K29"/>
  <c r="L29"/>
  <c r="M29"/>
  <c r="K30"/>
  <c r="L30"/>
  <c r="M30"/>
  <c r="E47"/>
  <c r="G34"/>
  <c r="G30"/>
  <c r="G28"/>
  <c r="E47" i="4"/>
  <c r="E44"/>
  <c r="J49"/>
  <c r="D49"/>
  <c r="AC42" i="8"/>
  <c r="AC39"/>
  <c r="K26"/>
  <c r="L26"/>
  <c r="M26"/>
  <c r="G26"/>
  <c r="AE25"/>
  <c r="G24"/>
  <c r="K24" s="1"/>
  <c r="G20"/>
  <c r="L24"/>
  <c r="M25"/>
  <c r="L25"/>
  <c r="K25"/>
  <c r="M24"/>
  <c r="K22"/>
  <c r="L22"/>
  <c r="M22"/>
  <c r="J2"/>
  <c r="K2"/>
  <c r="L2"/>
  <c r="M2"/>
  <c r="G3"/>
  <c r="G4"/>
  <c r="G5"/>
  <c r="D6"/>
  <c r="G6"/>
  <c r="P10"/>
  <c r="Q10" s="1"/>
  <c r="P14"/>
  <c r="Q14" s="1"/>
  <c r="P18"/>
  <c r="Q18" s="1"/>
  <c r="AE21" s="1"/>
  <c r="K20"/>
  <c r="L20"/>
  <c r="M20"/>
  <c r="K21"/>
  <c r="L21"/>
  <c r="M21"/>
  <c r="P22"/>
  <c r="Q22" s="1"/>
  <c r="P26"/>
  <c r="Q26" s="1"/>
  <c r="AE29" s="1"/>
  <c r="J29"/>
  <c r="N29"/>
  <c r="N30"/>
  <c r="P30"/>
  <c r="Q30" s="1"/>
  <c r="AE33" s="1"/>
  <c r="N32"/>
  <c r="N34"/>
  <c r="P34"/>
  <c r="Q34" s="1"/>
  <c r="K36"/>
  <c r="L36"/>
  <c r="M36"/>
  <c r="N36"/>
  <c r="N38"/>
  <c r="E39"/>
  <c r="F39"/>
  <c r="G39"/>
  <c r="H39"/>
  <c r="O39"/>
  <c r="V39"/>
  <c r="U42" s="1"/>
  <c r="W39"/>
  <c r="W42" s="1"/>
  <c r="J43" i="4" s="1"/>
  <c r="X39" i="8"/>
  <c r="Y39"/>
  <c r="Z39"/>
  <c r="AA39"/>
  <c r="AB39"/>
  <c r="AB42" s="1"/>
  <c r="J48" i="4" s="1"/>
  <c r="X42" i="8"/>
  <c r="J44" i="4" s="1"/>
  <c r="Y42" i="8"/>
  <c r="J45" i="4" s="1"/>
  <c r="Z42" i="8"/>
  <c r="J46" i="4" s="1"/>
  <c r="AA42" i="8"/>
  <c r="J47" i="4" s="1"/>
  <c r="G39" i="12" l="1"/>
  <c r="E40" s="1"/>
  <c r="F42" s="1"/>
  <c r="Q14"/>
  <c r="AE17" s="1"/>
  <c r="N38"/>
  <c r="S30"/>
  <c r="T30" s="1"/>
  <c r="Q30"/>
  <c r="Q10"/>
  <c r="R14"/>
  <c r="Q18"/>
  <c r="Q22"/>
  <c r="K25"/>
  <c r="K26"/>
  <c r="Q26"/>
  <c r="Q34"/>
  <c r="V42"/>
  <c r="U15"/>
  <c r="AE17" i="10"/>
  <c r="N18"/>
  <c r="K20"/>
  <c r="N22"/>
  <c r="N38" s="1"/>
  <c r="S14"/>
  <c r="T14" s="1"/>
  <c r="S34"/>
  <c r="T34" s="1"/>
  <c r="Q34"/>
  <c r="J45"/>
  <c r="E47"/>
  <c r="S30"/>
  <c r="T30" s="1"/>
  <c r="Q30"/>
  <c r="AE33" s="1"/>
  <c r="E40"/>
  <c r="Q10"/>
  <c r="R14"/>
  <c r="Q18"/>
  <c r="AE21" s="1"/>
  <c r="Q22"/>
  <c r="AE25" s="1"/>
  <c r="Q26"/>
  <c r="AE29" s="1"/>
  <c r="U42"/>
  <c r="W42"/>
  <c r="K32" i="8"/>
  <c r="S14"/>
  <c r="T14" s="1"/>
  <c r="R14"/>
  <c r="U15"/>
  <c r="S34"/>
  <c r="T34" s="1"/>
  <c r="R34"/>
  <c r="AE37"/>
  <c r="S26"/>
  <c r="T26" s="1"/>
  <c r="K38"/>
  <c r="R26"/>
  <c r="U27"/>
  <c r="E40"/>
  <c r="J51" i="4" s="1"/>
  <c r="M38" i="8"/>
  <c r="L38"/>
  <c r="E46"/>
  <c r="V42"/>
  <c r="J50" i="4" s="1"/>
  <c r="R18" i="8"/>
  <c r="U31"/>
  <c r="R30"/>
  <c r="U23"/>
  <c r="R22"/>
  <c r="U11"/>
  <c r="R10"/>
  <c r="AE13"/>
  <c r="Q39"/>
  <c r="S30"/>
  <c r="T30" s="1"/>
  <c r="S22"/>
  <c r="T22" s="1"/>
  <c r="S18"/>
  <c r="T18" s="1"/>
  <c r="AE17"/>
  <c r="S10"/>
  <c r="T10" s="1"/>
  <c r="J38" i="12" l="1"/>
  <c r="M38"/>
  <c r="L38"/>
  <c r="K38"/>
  <c r="P45"/>
  <c r="AE37"/>
  <c r="R34"/>
  <c r="AE25"/>
  <c r="R22"/>
  <c r="U23"/>
  <c r="R30"/>
  <c r="AE33"/>
  <c r="U31"/>
  <c r="R26"/>
  <c r="AE29"/>
  <c r="U27"/>
  <c r="AE21"/>
  <c r="R18"/>
  <c r="R10"/>
  <c r="R40" s="1"/>
  <c r="Q39"/>
  <c r="AB40" s="1"/>
  <c r="AE13"/>
  <c r="U11"/>
  <c r="J38" i="10"/>
  <c r="L38"/>
  <c r="R18"/>
  <c r="U31"/>
  <c r="R30"/>
  <c r="M38"/>
  <c r="R26"/>
  <c r="U27"/>
  <c r="R22"/>
  <c r="U23"/>
  <c r="Q39"/>
  <c r="R10"/>
  <c r="U11"/>
  <c r="J46"/>
  <c r="E48"/>
  <c r="J47" s="1"/>
  <c r="R34"/>
  <c r="K38"/>
  <c r="U39" i="8"/>
  <c r="P45"/>
  <c r="E30" i="7"/>
  <c r="E28"/>
  <c r="AE39" i="12" l="1"/>
  <c r="P46"/>
  <c r="E48"/>
  <c r="P47" s="1"/>
  <c r="U39"/>
  <c r="U39" i="10"/>
  <c r="S41"/>
  <c r="P46" i="8"/>
  <c r="E48"/>
  <c r="P47" s="1"/>
  <c r="M32" i="7"/>
  <c r="L32"/>
  <c r="K32"/>
  <c r="J32"/>
  <c r="K28"/>
  <c r="L28"/>
  <c r="M28"/>
  <c r="J28"/>
  <c r="K24"/>
  <c r="L24"/>
  <c r="M24"/>
  <c r="N24"/>
  <c r="J24"/>
  <c r="N22"/>
  <c r="M22"/>
  <c r="L22"/>
  <c r="K22"/>
  <c r="J22"/>
  <c r="N20"/>
  <c r="M20"/>
  <c r="L20"/>
  <c r="K20"/>
  <c r="J20"/>
  <c r="N18"/>
  <c r="M18"/>
  <c r="L18"/>
  <c r="K18"/>
  <c r="J18"/>
  <c r="K16"/>
  <c r="L16"/>
  <c r="M16"/>
  <c r="N16"/>
  <c r="J16"/>
  <c r="N12"/>
  <c r="L12"/>
  <c r="M12"/>
  <c r="K12"/>
  <c r="J12"/>
  <c r="K14"/>
  <c r="L14"/>
  <c r="M14"/>
  <c r="N14"/>
  <c r="J14"/>
  <c r="M30"/>
  <c r="L30"/>
  <c r="K30"/>
  <c r="J30"/>
  <c r="P18"/>
  <c r="P14"/>
  <c r="P10"/>
  <c r="E26"/>
  <c r="K26" s="1"/>
  <c r="E25"/>
  <c r="K25" s="1"/>
  <c r="L25"/>
  <c r="M25"/>
  <c r="J25"/>
  <c r="S41" i="12" l="1"/>
  <c r="S41" i="8"/>
  <c r="J42" i="4" s="1"/>
  <c r="J26" i="7"/>
  <c r="L26"/>
  <c r="M26"/>
  <c r="AD13" i="6"/>
  <c r="H45" i="4"/>
  <c r="H47"/>
  <c r="H50"/>
  <c r="G45"/>
  <c r="E26" i="6"/>
  <c r="N29"/>
  <c r="K29"/>
  <c r="L29"/>
  <c r="M29"/>
  <c r="J29"/>
  <c r="AB39" i="7"/>
  <c r="AB42" s="1"/>
  <c r="I48" i="4" s="1"/>
  <c r="AA39" i="7"/>
  <c r="AA42" s="1"/>
  <c r="I47" i="4" s="1"/>
  <c r="Z39" i="7"/>
  <c r="Z42" s="1"/>
  <c r="I46" i="4" s="1"/>
  <c r="Y39" i="7"/>
  <c r="Y42" s="1"/>
  <c r="I45" i="4" s="1"/>
  <c r="X39" i="7"/>
  <c r="X42" s="1"/>
  <c r="I44" i="4" s="1"/>
  <c r="W39" i="7"/>
  <c r="E46" s="1"/>
  <c r="V39"/>
  <c r="V42" s="1"/>
  <c r="I50" i="4" s="1"/>
  <c r="O39" i="7"/>
  <c r="H39"/>
  <c r="F39"/>
  <c r="E39"/>
  <c r="N36"/>
  <c r="M36"/>
  <c r="L36"/>
  <c r="K36"/>
  <c r="J36"/>
  <c r="P34"/>
  <c r="N32"/>
  <c r="P30"/>
  <c r="S30" s="1"/>
  <c r="T30" s="1"/>
  <c r="N30"/>
  <c r="N38" s="1"/>
  <c r="P26"/>
  <c r="P22"/>
  <c r="S22" s="1"/>
  <c r="T22" s="1"/>
  <c r="S18"/>
  <c r="T18" s="1"/>
  <c r="Q10"/>
  <c r="AD13" s="1"/>
  <c r="G6"/>
  <c r="D6"/>
  <c r="G5"/>
  <c r="G4"/>
  <c r="G3"/>
  <c r="M2"/>
  <c r="L2"/>
  <c r="K2"/>
  <c r="J2"/>
  <c r="F29" i="6"/>
  <c r="G51" i="4"/>
  <c r="F51"/>
  <c r="E51"/>
  <c r="AD36" i="6"/>
  <c r="E28"/>
  <c r="K28" s="1"/>
  <c r="L26"/>
  <c r="AD25"/>
  <c r="E25"/>
  <c r="L25" s="1"/>
  <c r="H24"/>
  <c r="K24" s="1"/>
  <c r="L28"/>
  <c r="J28"/>
  <c r="K26"/>
  <c r="M26"/>
  <c r="J26"/>
  <c r="K25"/>
  <c r="M25"/>
  <c r="L24"/>
  <c r="M24"/>
  <c r="J24"/>
  <c r="P18"/>
  <c r="K22"/>
  <c r="L22"/>
  <c r="M22"/>
  <c r="J22"/>
  <c r="H22"/>
  <c r="H21"/>
  <c r="L21" s="1"/>
  <c r="G20"/>
  <c r="K21"/>
  <c r="M21"/>
  <c r="AB39"/>
  <c r="AB42" s="1"/>
  <c r="H48" i="4" s="1"/>
  <c r="AD17" i="6"/>
  <c r="G18"/>
  <c r="S10" i="7" l="1"/>
  <c r="T10" s="1"/>
  <c r="U42"/>
  <c r="Q30"/>
  <c r="AD33" s="1"/>
  <c r="S14"/>
  <c r="T14" s="1"/>
  <c r="Q14"/>
  <c r="AD17" s="1"/>
  <c r="S26"/>
  <c r="T26" s="1"/>
  <c r="Q26"/>
  <c r="AD29" s="1"/>
  <c r="S34"/>
  <c r="T34" s="1"/>
  <c r="Q34"/>
  <c r="AD37" s="1"/>
  <c r="P45"/>
  <c r="U11"/>
  <c r="G39"/>
  <c r="E40" s="1"/>
  <c r="I51" i="4" s="1"/>
  <c r="W42" i="7"/>
  <c r="I43" i="4" s="1"/>
  <c r="R10" i="7"/>
  <c r="Q18"/>
  <c r="AD21" s="1"/>
  <c r="Q22"/>
  <c r="AD25" s="1"/>
  <c r="R30"/>
  <c r="M28" i="6"/>
  <c r="J25"/>
  <c r="J21"/>
  <c r="AA39"/>
  <c r="AA42" s="1"/>
  <c r="Z39"/>
  <c r="Z42" s="1"/>
  <c r="H46" i="4" s="1"/>
  <c r="Y39" i="6"/>
  <c r="Y42" s="1"/>
  <c r="X39"/>
  <c r="X42" s="1"/>
  <c r="H44" i="4" s="1"/>
  <c r="W39" i="6"/>
  <c r="E46" s="1"/>
  <c r="V39"/>
  <c r="V42" s="1"/>
  <c r="O39"/>
  <c r="H39"/>
  <c r="F39"/>
  <c r="E39"/>
  <c r="N36"/>
  <c r="M36"/>
  <c r="L36"/>
  <c r="K36"/>
  <c r="J36"/>
  <c r="P34"/>
  <c r="S34" s="1"/>
  <c r="T34" s="1"/>
  <c r="N34"/>
  <c r="M34"/>
  <c r="L34"/>
  <c r="K34"/>
  <c r="J34"/>
  <c r="N32"/>
  <c r="M32"/>
  <c r="L32"/>
  <c r="K32"/>
  <c r="J32"/>
  <c r="P30"/>
  <c r="S30" s="1"/>
  <c r="T30" s="1"/>
  <c r="N30"/>
  <c r="N38" s="1"/>
  <c r="M30"/>
  <c r="L30"/>
  <c r="K30"/>
  <c r="J30"/>
  <c r="P26"/>
  <c r="S26" s="1"/>
  <c r="T26" s="1"/>
  <c r="P22"/>
  <c r="M20"/>
  <c r="L20"/>
  <c r="K20"/>
  <c r="J20"/>
  <c r="S18"/>
  <c r="T18" s="1"/>
  <c r="M18"/>
  <c r="L18"/>
  <c r="K18"/>
  <c r="J18"/>
  <c r="M16"/>
  <c r="L16"/>
  <c r="K16"/>
  <c r="J16"/>
  <c r="P14"/>
  <c r="S14" s="1"/>
  <c r="T14" s="1"/>
  <c r="L14"/>
  <c r="J14"/>
  <c r="G14"/>
  <c r="M14" s="1"/>
  <c r="L12"/>
  <c r="J12"/>
  <c r="G12"/>
  <c r="G39" s="1"/>
  <c r="S10"/>
  <c r="T10" s="1"/>
  <c r="Q10"/>
  <c r="P10"/>
  <c r="G6"/>
  <c r="D6"/>
  <c r="G5"/>
  <c r="G4"/>
  <c r="G3"/>
  <c r="M2"/>
  <c r="L2"/>
  <c r="K2"/>
  <c r="J2"/>
  <c r="D6" i="5"/>
  <c r="G34"/>
  <c r="G32"/>
  <c r="G26"/>
  <c r="G24"/>
  <c r="G22"/>
  <c r="G20"/>
  <c r="U31" i="7" l="1"/>
  <c r="AD39"/>
  <c r="Q39"/>
  <c r="AB40" s="1"/>
  <c r="L38"/>
  <c r="K38"/>
  <c r="J38"/>
  <c r="M38"/>
  <c r="E48"/>
  <c r="P47" s="1"/>
  <c r="P46"/>
  <c r="R18"/>
  <c r="U23"/>
  <c r="R22"/>
  <c r="R34"/>
  <c r="R26"/>
  <c r="U27"/>
  <c r="R14"/>
  <c r="R40" s="1"/>
  <c r="U15"/>
  <c r="U39" s="1"/>
  <c r="E47" i="6"/>
  <c r="Q30"/>
  <c r="AD32" s="1"/>
  <c r="J38"/>
  <c r="R30"/>
  <c r="Q26"/>
  <c r="AD28" s="1"/>
  <c r="S22"/>
  <c r="T22" s="1"/>
  <c r="Q22"/>
  <c r="R22" s="1"/>
  <c r="L38"/>
  <c r="K45"/>
  <c r="E40"/>
  <c r="H51" i="4" s="1"/>
  <c r="R10" i="6"/>
  <c r="K12"/>
  <c r="M12"/>
  <c r="M38" s="1"/>
  <c r="K14"/>
  <c r="Q14"/>
  <c r="U27"/>
  <c r="U31"/>
  <c r="U42"/>
  <c r="W42"/>
  <c r="H43" i="4" s="1"/>
  <c r="U11" i="6"/>
  <c r="Q18"/>
  <c r="AD21" s="1"/>
  <c r="Q34"/>
  <c r="G43" i="4"/>
  <c r="P10" i="5"/>
  <c r="P34"/>
  <c r="J28"/>
  <c r="K28"/>
  <c r="L28"/>
  <c r="M28"/>
  <c r="J26"/>
  <c r="K26"/>
  <c r="L26"/>
  <c r="M26"/>
  <c r="Q30" i="3"/>
  <c r="W39" i="5"/>
  <c r="W42" s="1"/>
  <c r="X39"/>
  <c r="X42" s="1"/>
  <c r="G44" i="4" s="1"/>
  <c r="Y39" i="5"/>
  <c r="Y42" s="1"/>
  <c r="Z39"/>
  <c r="AA39"/>
  <c r="AA42" s="1"/>
  <c r="G47" i="4" s="1"/>
  <c r="F50"/>
  <c r="F47"/>
  <c r="F46"/>
  <c r="F45"/>
  <c r="F44"/>
  <c r="F43"/>
  <c r="E46" i="3"/>
  <c r="E47" s="1"/>
  <c r="W42"/>
  <c r="X42"/>
  <c r="Y42"/>
  <c r="Z42"/>
  <c r="AA42"/>
  <c r="V42"/>
  <c r="W39"/>
  <c r="X39"/>
  <c r="Y39"/>
  <c r="Z39"/>
  <c r="AA39"/>
  <c r="AC28"/>
  <c r="AC25"/>
  <c r="AC21"/>
  <c r="AC17"/>
  <c r="AC13"/>
  <c r="R10"/>
  <c r="D6"/>
  <c r="Q10"/>
  <c r="S41" i="7" l="1"/>
  <c r="I42" i="4" s="1"/>
  <c r="R26" i="6"/>
  <c r="R18"/>
  <c r="R14"/>
  <c r="U15"/>
  <c r="E48"/>
  <c r="K47" s="1"/>
  <c r="K46"/>
  <c r="Q39"/>
  <c r="R34"/>
  <c r="U23"/>
  <c r="U39" s="1"/>
  <c r="K38"/>
  <c r="Q34" i="5"/>
  <c r="AC36" s="1"/>
  <c r="Z42"/>
  <c r="G46" i="4" s="1"/>
  <c r="S41" i="6" l="1"/>
  <c r="H42" i="4" s="1"/>
  <c r="R34" i="5"/>
  <c r="W38" i="2" l="1"/>
  <c r="X38"/>
  <c r="X41" s="1"/>
  <c r="Y38"/>
  <c r="Y41" s="1"/>
  <c r="Z38"/>
  <c r="Z41" s="1"/>
  <c r="E46" i="4" s="1"/>
  <c r="AA38" i="2"/>
  <c r="AA41" l="1"/>
  <c r="S34" i="5" l="1"/>
  <c r="P18"/>
  <c r="G18"/>
  <c r="L18" s="1"/>
  <c r="P14"/>
  <c r="G16"/>
  <c r="L16" s="1"/>
  <c r="G14"/>
  <c r="M14" s="1"/>
  <c r="M18"/>
  <c r="K18"/>
  <c r="J18"/>
  <c r="M16"/>
  <c r="K16"/>
  <c r="L14"/>
  <c r="J14"/>
  <c r="M20"/>
  <c r="L20"/>
  <c r="K20"/>
  <c r="J20"/>
  <c r="M12"/>
  <c r="L12"/>
  <c r="K12"/>
  <c r="J12"/>
  <c r="E46"/>
  <c r="V39"/>
  <c r="O39"/>
  <c r="H39"/>
  <c r="E39"/>
  <c r="N36"/>
  <c r="L36"/>
  <c r="J36"/>
  <c r="M36"/>
  <c r="N34"/>
  <c r="N32"/>
  <c r="P30"/>
  <c r="Q30" s="1"/>
  <c r="AC32" s="1"/>
  <c r="N30"/>
  <c r="M30"/>
  <c r="L30"/>
  <c r="K30"/>
  <c r="J30"/>
  <c r="P26"/>
  <c r="S26" s="1"/>
  <c r="G39"/>
  <c r="M24"/>
  <c r="L24"/>
  <c r="K24"/>
  <c r="J24"/>
  <c r="P22"/>
  <c r="M22"/>
  <c r="L22"/>
  <c r="K22"/>
  <c r="J22"/>
  <c r="Q18"/>
  <c r="AC21" s="1"/>
  <c r="S14"/>
  <c r="T14" s="1"/>
  <c r="Q10"/>
  <c r="G6"/>
  <c r="G5"/>
  <c r="G4"/>
  <c r="G3"/>
  <c r="M2"/>
  <c r="L2"/>
  <c r="K2"/>
  <c r="J2"/>
  <c r="R10" l="1"/>
  <c r="AC13"/>
  <c r="V42"/>
  <c r="G50" i="4" s="1"/>
  <c r="E47" i="5"/>
  <c r="T26"/>
  <c r="S30"/>
  <c r="S22"/>
  <c r="T22" s="1"/>
  <c r="J16"/>
  <c r="K14"/>
  <c r="S10"/>
  <c r="T10" s="1"/>
  <c r="N38"/>
  <c r="S18"/>
  <c r="T18" s="1"/>
  <c r="T30"/>
  <c r="K45"/>
  <c r="U11"/>
  <c r="U31"/>
  <c r="F39"/>
  <c r="E40" s="1"/>
  <c r="U42"/>
  <c r="Q14"/>
  <c r="AC17" s="1"/>
  <c r="R18"/>
  <c r="Q22"/>
  <c r="AC25" s="1"/>
  <c r="M38"/>
  <c r="Q26"/>
  <c r="AC28" s="1"/>
  <c r="R30"/>
  <c r="K36"/>
  <c r="V39" i="3"/>
  <c r="U42" s="1"/>
  <c r="O39"/>
  <c r="H39"/>
  <c r="E39"/>
  <c r="F36"/>
  <c r="N36" s="1"/>
  <c r="N34"/>
  <c r="L34"/>
  <c r="J34"/>
  <c r="F34"/>
  <c r="P34" s="1"/>
  <c r="F32"/>
  <c r="N32" s="1"/>
  <c r="P30"/>
  <c r="S30" s="1"/>
  <c r="T30" s="1"/>
  <c r="N30"/>
  <c r="M30"/>
  <c r="L30"/>
  <c r="K30"/>
  <c r="J30"/>
  <c r="N29"/>
  <c r="L29"/>
  <c r="J29"/>
  <c r="F29"/>
  <c r="F39" s="1"/>
  <c r="L28"/>
  <c r="J28"/>
  <c r="G28"/>
  <c r="M28" s="1"/>
  <c r="G26"/>
  <c r="P26" s="1"/>
  <c r="M24"/>
  <c r="L24"/>
  <c r="K24"/>
  <c r="J24"/>
  <c r="S22"/>
  <c r="T22" s="1"/>
  <c r="Q22"/>
  <c r="P22"/>
  <c r="M22"/>
  <c r="L22"/>
  <c r="K22"/>
  <c r="J22"/>
  <c r="M21"/>
  <c r="L21"/>
  <c r="K21"/>
  <c r="J21"/>
  <c r="N20"/>
  <c r="M20"/>
  <c r="L20"/>
  <c r="K20"/>
  <c r="J20"/>
  <c r="P18"/>
  <c r="S18" s="1"/>
  <c r="T18" s="1"/>
  <c r="N18"/>
  <c r="M18"/>
  <c r="L18"/>
  <c r="K18"/>
  <c r="J18"/>
  <c r="N16"/>
  <c r="M16"/>
  <c r="L16"/>
  <c r="K16"/>
  <c r="J16"/>
  <c r="S14"/>
  <c r="T14" s="1"/>
  <c r="Q14"/>
  <c r="R14" s="1"/>
  <c r="P14"/>
  <c r="N14"/>
  <c r="M14"/>
  <c r="L14"/>
  <c r="K14"/>
  <c r="J14"/>
  <c r="N12"/>
  <c r="N38" s="1"/>
  <c r="M12"/>
  <c r="L12"/>
  <c r="K12"/>
  <c r="J12"/>
  <c r="P10"/>
  <c r="S10" s="1"/>
  <c r="T10" s="1"/>
  <c r="G6"/>
  <c r="G5"/>
  <c r="G4"/>
  <c r="G3"/>
  <c r="M2"/>
  <c r="L2"/>
  <c r="K2"/>
  <c r="J2"/>
  <c r="J2" i="2"/>
  <c r="K2"/>
  <c r="L2"/>
  <c r="M2"/>
  <c r="G3"/>
  <c r="G4"/>
  <c r="G5"/>
  <c r="G6"/>
  <c r="J10"/>
  <c r="K10"/>
  <c r="L10"/>
  <c r="M10"/>
  <c r="N10"/>
  <c r="P10"/>
  <c r="Q10" s="1"/>
  <c r="AC13" s="1"/>
  <c r="J12"/>
  <c r="K12"/>
  <c r="L12"/>
  <c r="M12"/>
  <c r="N12"/>
  <c r="J14"/>
  <c r="K14"/>
  <c r="L14"/>
  <c r="M14"/>
  <c r="N14"/>
  <c r="P14"/>
  <c r="Q14" s="1"/>
  <c r="AC17" s="1"/>
  <c r="J16"/>
  <c r="K16"/>
  <c r="L16"/>
  <c r="M16"/>
  <c r="N16"/>
  <c r="J18"/>
  <c r="K18"/>
  <c r="L18"/>
  <c r="M18"/>
  <c r="N18"/>
  <c r="F20"/>
  <c r="P18" s="1"/>
  <c r="J20"/>
  <c r="K20"/>
  <c r="L20"/>
  <c r="M20"/>
  <c r="N20"/>
  <c r="F22"/>
  <c r="J22"/>
  <c r="K22"/>
  <c r="L22"/>
  <c r="M22"/>
  <c r="N22"/>
  <c r="F24"/>
  <c r="J24" s="1"/>
  <c r="K24"/>
  <c r="M24"/>
  <c r="J26"/>
  <c r="K26"/>
  <c r="L26"/>
  <c r="M26"/>
  <c r="N26"/>
  <c r="J27"/>
  <c r="K27"/>
  <c r="L27"/>
  <c r="M27"/>
  <c r="N27"/>
  <c r="H29"/>
  <c r="K29" s="1"/>
  <c r="M29"/>
  <c r="E30"/>
  <c r="J30" s="1"/>
  <c r="M30"/>
  <c r="E31"/>
  <c r="J31" s="1"/>
  <c r="M31"/>
  <c r="N31"/>
  <c r="E33"/>
  <c r="P31" s="1"/>
  <c r="K33"/>
  <c r="L33"/>
  <c r="M33"/>
  <c r="N33"/>
  <c r="J34"/>
  <c r="K34"/>
  <c r="L34"/>
  <c r="M34"/>
  <c r="Q35"/>
  <c r="R35" s="1"/>
  <c r="S35"/>
  <c r="T35" s="1"/>
  <c r="M37"/>
  <c r="F38"/>
  <c r="G38"/>
  <c r="H38"/>
  <c r="O38"/>
  <c r="V38"/>
  <c r="K31" l="1"/>
  <c r="S10"/>
  <c r="T10" s="1"/>
  <c r="U41"/>
  <c r="V41"/>
  <c r="K46" i="3"/>
  <c r="L38" i="5"/>
  <c r="J38"/>
  <c r="K38"/>
  <c r="U27"/>
  <c r="R26"/>
  <c r="E48"/>
  <c r="K47" s="1"/>
  <c r="K46"/>
  <c r="U23"/>
  <c r="R22"/>
  <c r="U15"/>
  <c r="U39" s="1"/>
  <c r="R14"/>
  <c r="T34"/>
  <c r="Q39"/>
  <c r="E48" i="3"/>
  <c r="R10" i="2"/>
  <c r="E46"/>
  <c r="E47" s="1"/>
  <c r="W41"/>
  <c r="E43" i="4" s="1"/>
  <c r="E45"/>
  <c r="L31" i="2"/>
  <c r="E50" i="4"/>
  <c r="K45" i="3"/>
  <c r="K30" i="2"/>
  <c r="U11"/>
  <c r="E38"/>
  <c r="E39" s="1"/>
  <c r="L30"/>
  <c r="N29"/>
  <c r="P27"/>
  <c r="S27" s="1"/>
  <c r="T27" s="1"/>
  <c r="S14"/>
  <c r="T14" s="1"/>
  <c r="S26" i="3"/>
  <c r="T26" s="1"/>
  <c r="Q26"/>
  <c r="S34"/>
  <c r="T34" s="1"/>
  <c r="Q34"/>
  <c r="U15"/>
  <c r="U23"/>
  <c r="K26"/>
  <c r="K38" s="1"/>
  <c r="M26"/>
  <c r="M38" s="1"/>
  <c r="K32"/>
  <c r="M32"/>
  <c r="K36"/>
  <c r="M36"/>
  <c r="G39"/>
  <c r="E40" s="1"/>
  <c r="Q18"/>
  <c r="R22"/>
  <c r="J26"/>
  <c r="J38" s="1"/>
  <c r="L26"/>
  <c r="L38" s="1"/>
  <c r="K28"/>
  <c r="K29"/>
  <c r="M29"/>
  <c r="J32"/>
  <c r="L32"/>
  <c r="K34"/>
  <c r="M34"/>
  <c r="J36"/>
  <c r="L36"/>
  <c r="Q27" i="2"/>
  <c r="AC29" s="1"/>
  <c r="Q31"/>
  <c r="AC33" s="1"/>
  <c r="S31"/>
  <c r="T31" s="1"/>
  <c r="Q18"/>
  <c r="S18"/>
  <c r="T18" s="1"/>
  <c r="U15"/>
  <c r="R14"/>
  <c r="J33"/>
  <c r="L29"/>
  <c r="J29"/>
  <c r="J37" s="1"/>
  <c r="P22"/>
  <c r="N24"/>
  <c r="L24"/>
  <c r="L37" l="1"/>
  <c r="K37"/>
  <c r="R40" i="5"/>
  <c r="S41"/>
  <c r="J46" i="2"/>
  <c r="J45"/>
  <c r="K47" i="3"/>
  <c r="S41" s="1"/>
  <c r="F42" i="4" s="1"/>
  <c r="N37" i="2"/>
  <c r="R18" i="3"/>
  <c r="U31"/>
  <c r="AC32"/>
  <c r="R30"/>
  <c r="Q39"/>
  <c r="U11"/>
  <c r="R34"/>
  <c r="AC36"/>
  <c r="R26"/>
  <c r="U27"/>
  <c r="R27" i="2"/>
  <c r="U28"/>
  <c r="Q22"/>
  <c r="AC25" s="1"/>
  <c r="S22"/>
  <c r="T22" s="1"/>
  <c r="AC21"/>
  <c r="R18"/>
  <c r="R31"/>
  <c r="U32"/>
  <c r="G42" i="4" l="1"/>
  <c r="Q38" i="2"/>
  <c r="E48"/>
  <c r="J47" s="1"/>
  <c r="S40" s="1"/>
  <c r="U39" i="3"/>
  <c r="U23" i="2"/>
  <c r="R22"/>
  <c r="R39" s="1"/>
  <c r="E42" i="4" l="1"/>
</calcChain>
</file>

<file path=xl/sharedStrings.xml><?xml version="1.0" encoding="utf-8"?>
<sst xmlns="http://schemas.openxmlformats.org/spreadsheetml/2006/main" count="834" uniqueCount="141">
  <si>
    <t>Date</t>
  </si>
  <si>
    <t>Poste</t>
  </si>
  <si>
    <t>nom</t>
  </si>
  <si>
    <t>Type de Matière</t>
  </si>
  <si>
    <t>Consommation MP</t>
  </si>
  <si>
    <t>Remarque</t>
  </si>
  <si>
    <t>PVC Isolat°</t>
  </si>
  <si>
    <t>PVC Gris</t>
  </si>
  <si>
    <t>PVC Gainage</t>
  </si>
  <si>
    <t>PVC Bourrage</t>
  </si>
  <si>
    <t>Résine</t>
  </si>
  <si>
    <t xml:space="preserve">Charge </t>
  </si>
  <si>
    <t>DOP</t>
  </si>
  <si>
    <t>Stab.</t>
  </si>
  <si>
    <t>Color Gris</t>
  </si>
  <si>
    <t>Lundi</t>
  </si>
  <si>
    <t>19h à 07h</t>
  </si>
  <si>
    <t>Mustapha +      El Bache</t>
  </si>
  <si>
    <t>Démarrage</t>
  </si>
  <si>
    <t>07h à 19h</t>
  </si>
  <si>
    <t>Abdelali</t>
  </si>
  <si>
    <t>Mardi</t>
  </si>
  <si>
    <t>Abdelali  +  Abd El Oaffaq</t>
  </si>
  <si>
    <t>Mercredi</t>
  </si>
  <si>
    <t>Jeudi</t>
  </si>
  <si>
    <t>Vendredi</t>
  </si>
  <si>
    <t>Samedi</t>
  </si>
  <si>
    <t>Essai : Changement de formule pour PVC isolation</t>
  </si>
  <si>
    <t>Dimanche</t>
  </si>
  <si>
    <t>heures</t>
  </si>
  <si>
    <t>Total Prod</t>
  </si>
  <si>
    <t>Problème de dégazage                                            Nettoyage de la tête</t>
  </si>
  <si>
    <t>Blocage de matière au niveau de balance par un morceau de plastique</t>
  </si>
  <si>
    <t>Non-TRS</t>
  </si>
  <si>
    <t xml:space="preserve">TRS </t>
  </si>
  <si>
    <r>
      <rPr>
        <b/>
        <u/>
        <sz val="16"/>
        <color theme="1"/>
        <rFont val="Calibri"/>
        <family val="2"/>
      </rPr>
      <t>Σ</t>
    </r>
    <r>
      <rPr>
        <b/>
        <u/>
        <sz val="16"/>
        <color theme="1"/>
        <rFont val="Calibri"/>
        <family val="2"/>
        <scheme val="minor"/>
      </rPr>
      <t xml:space="preserve"> :</t>
    </r>
  </si>
  <si>
    <t>Σ :</t>
  </si>
  <si>
    <t>40 tr/min au lieu de 45 tr/min</t>
  </si>
  <si>
    <t xml:space="preserve">Pb de pompe de dégazage +                                  changement de filtre de pompe </t>
  </si>
  <si>
    <t>Sous-Vitesse</t>
  </si>
  <si>
    <t>planifié</t>
  </si>
  <si>
    <t>Technique</t>
  </si>
  <si>
    <t>%</t>
  </si>
  <si>
    <t>Prod</t>
  </si>
  <si>
    <t>performance</t>
  </si>
  <si>
    <t>Prod/j</t>
  </si>
  <si>
    <t>Ecart</t>
  </si>
  <si>
    <t>TRS (%)</t>
  </si>
  <si>
    <t xml:space="preserve">Temps </t>
  </si>
  <si>
    <r>
      <rPr>
        <b/>
        <sz val="16"/>
        <color theme="1"/>
        <rFont val="Calibri"/>
        <family val="2"/>
      </rPr>
      <t>Σ</t>
    </r>
    <r>
      <rPr>
        <b/>
        <sz val="16"/>
        <color theme="1"/>
        <rFont val="Calibri"/>
        <family val="2"/>
        <scheme val="minor"/>
      </rPr>
      <t xml:space="preserve"> </t>
    </r>
  </si>
  <si>
    <t xml:space="preserve">Démarrage : préparation de la machine + Netoyage de la tête </t>
  </si>
  <si>
    <t>Manque big-bag vide</t>
  </si>
  <si>
    <t>Rupture d'électricilté + Problème de pression (nettoyage de la tête)</t>
  </si>
  <si>
    <t xml:space="preserve">Problème de turbine de pompe de dégazage </t>
  </si>
  <si>
    <t>Arrêt pour même problème</t>
  </si>
  <si>
    <t>Réparation et montage de la pompe + Changement de référence</t>
  </si>
  <si>
    <t>Nettoyage chambre dégazage</t>
  </si>
  <si>
    <t>Changement de référence</t>
  </si>
  <si>
    <t>Arrêt : Nettoyage de la tête + Nettoyage de poste</t>
  </si>
  <si>
    <t>TRS</t>
  </si>
  <si>
    <r>
      <rPr>
        <b/>
        <sz val="12"/>
        <color theme="1"/>
        <rFont val="Calibri"/>
        <family val="2"/>
        <scheme val="minor"/>
      </rPr>
      <t>Non-TRS</t>
    </r>
    <r>
      <rPr>
        <sz val="12"/>
        <color theme="1"/>
        <rFont val="Calibri"/>
        <family val="2"/>
        <scheme val="minor"/>
      </rPr>
      <t xml:space="preserve"> = Le complément entre le TRS et 100%</t>
    </r>
  </si>
  <si>
    <t>t/jour</t>
  </si>
  <si>
    <t xml:space="preserve">Cadence Objectif        : </t>
  </si>
  <si>
    <t xml:space="preserve">Temps d'ouverture    : </t>
  </si>
  <si>
    <t>7 jours =</t>
  </si>
  <si>
    <t xml:space="preserve">6 jours = </t>
  </si>
  <si>
    <t>h</t>
  </si>
  <si>
    <t xml:space="preserve">Temps Total                : </t>
  </si>
  <si>
    <t>T.Net</t>
  </si>
  <si>
    <t>T.foctionnement</t>
  </si>
  <si>
    <t>T disponibilité</t>
  </si>
  <si>
    <t>T performance</t>
  </si>
  <si>
    <t>T Utile</t>
  </si>
  <si>
    <t>Démarrage : préparation de la machine</t>
  </si>
  <si>
    <t>Pb de flexible d'aspiration</t>
  </si>
  <si>
    <t>Manque big-bag</t>
  </si>
  <si>
    <t>Manque Matière</t>
  </si>
  <si>
    <t>Panne</t>
  </si>
  <si>
    <t>Maque colorant gris</t>
  </si>
  <si>
    <t>Réglage</t>
  </si>
  <si>
    <t xml:space="preserve"> Netoyage de la tête </t>
  </si>
  <si>
    <t>Vitesse réduite</t>
  </si>
  <si>
    <t xml:space="preserve">6,5 jours = </t>
  </si>
  <si>
    <t>t/poste</t>
  </si>
  <si>
    <t>22 mai-28 mai</t>
  </si>
  <si>
    <t>29 mai-04 juin</t>
  </si>
  <si>
    <t>05 juin-11 juin</t>
  </si>
  <si>
    <t>12 juin-18 juin</t>
  </si>
  <si>
    <t>Surstock</t>
  </si>
  <si>
    <t>Manque d'espace pour stock(Nettoyage de poste)</t>
  </si>
  <si>
    <t>Rendement (T)</t>
  </si>
  <si>
    <t>Manque d'espace pour stock</t>
  </si>
  <si>
    <t>Problème sur flexible d'aspiration (silo)</t>
  </si>
  <si>
    <t>6 jours =</t>
  </si>
  <si>
    <t>19 juin-25 juin</t>
  </si>
  <si>
    <t>03 juil-09 juil</t>
  </si>
  <si>
    <t>26 juin-02 juil</t>
  </si>
  <si>
    <t>10 juil-16juil</t>
  </si>
  <si>
    <t>17 juil-23 juil</t>
  </si>
  <si>
    <t>24 juil-30 juil</t>
  </si>
  <si>
    <t>Arrêt pour l'Aïd</t>
  </si>
  <si>
    <t>Nettoyage général</t>
  </si>
  <si>
    <t>Arrêt pour l'Aid</t>
  </si>
  <si>
    <t>T.Requis</t>
  </si>
  <si>
    <t>T Qualité</t>
  </si>
  <si>
    <t>Opérateur Absent</t>
  </si>
  <si>
    <t>Préparation + Nettoyage de la tête</t>
  </si>
  <si>
    <t>Manque 2 Opérateurs</t>
  </si>
  <si>
    <t>Mustapha</t>
  </si>
  <si>
    <t>Abdelali  +  El Bache</t>
  </si>
  <si>
    <r>
      <t xml:space="preserve">Tableau de bord CPVC 2                     </t>
    </r>
    <r>
      <rPr>
        <b/>
        <sz val="16"/>
        <color theme="1"/>
        <rFont val="Arial Black"/>
        <family val="2"/>
      </rPr>
      <t xml:space="preserve"> (19 Juin - 25 Juin)</t>
    </r>
  </si>
  <si>
    <r>
      <t xml:space="preserve">Tableau de bord CPVC 2                     </t>
    </r>
    <r>
      <rPr>
        <b/>
        <sz val="16"/>
        <color theme="1"/>
        <rFont val="Arial Black"/>
        <family val="2"/>
      </rPr>
      <t xml:space="preserve"> (26 Juin - 02 Juil)</t>
    </r>
  </si>
  <si>
    <t>Arrêt pour l’Aid</t>
  </si>
  <si>
    <t>Manque d'espace</t>
  </si>
  <si>
    <t xml:space="preserve">Manque de la résine </t>
  </si>
  <si>
    <t>Pression dégazage (50MBar)</t>
  </si>
  <si>
    <t>Moteur aspirateur silo</t>
  </si>
  <si>
    <t>Moteur Cooler</t>
  </si>
  <si>
    <t>Moteur Mixeur</t>
  </si>
  <si>
    <t xml:space="preserve">Moteur Convoyeur </t>
  </si>
  <si>
    <t>Moteur Balance</t>
  </si>
  <si>
    <t>Moteur d'extrudeuse</t>
  </si>
  <si>
    <t>vérifier niveau huile</t>
  </si>
  <si>
    <t>Nettoyage filtre dégazage</t>
  </si>
  <si>
    <t>Graisse Cooler</t>
  </si>
  <si>
    <t>Graisse Mixeur</t>
  </si>
  <si>
    <t>D</t>
  </si>
  <si>
    <t>S</t>
  </si>
  <si>
    <t>V</t>
  </si>
  <si>
    <t>J</t>
  </si>
  <si>
    <t>M</t>
  </si>
  <si>
    <t>L</t>
  </si>
  <si>
    <t>Opération</t>
  </si>
  <si>
    <t>S4</t>
  </si>
  <si>
    <t>S3</t>
  </si>
  <si>
    <t>S2</t>
  </si>
  <si>
    <t>S1</t>
  </si>
  <si>
    <t>Semaine</t>
  </si>
  <si>
    <t xml:space="preserve">CHECKLIST DE VERIFICATION </t>
  </si>
  <si>
    <t>Préparation démarrage</t>
  </si>
  <si>
    <t>Nettoyage de la tête</t>
  </si>
</sst>
</file>

<file path=xl/styles.xml><?xml version="1.0" encoding="utf-8"?>
<styleSheet xmlns="http://schemas.openxmlformats.org/spreadsheetml/2006/main">
  <numFmts count="8">
    <numFmt numFmtId="43" formatCode="_-* #,##0.00\ _€_-;\-* #,##0.00\ _€_-;_-* &quot;-&quot;??\ _€_-;_-@_-"/>
    <numFmt numFmtId="164" formatCode="0.0%"/>
    <numFmt numFmtId="165" formatCode="0.0"/>
    <numFmt numFmtId="166" formatCode="0.000"/>
    <numFmt numFmtId="167" formatCode="_-* #,##0\ _€_-;\-* #,##0\ _€_-;_-* &quot;-&quot;??\ _€_-;_-@_-"/>
    <numFmt numFmtId="168" formatCode="0.0000%"/>
    <numFmt numFmtId="169" formatCode="0.000000%"/>
    <numFmt numFmtId="170" formatCode="0.000000000%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rgb="FF666666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rgb="FFFFC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Arial Black"/>
      <family val="2"/>
    </font>
    <font>
      <b/>
      <u/>
      <sz val="20"/>
      <color theme="1"/>
      <name val="Arial Black"/>
      <family val="2"/>
    </font>
    <font>
      <b/>
      <sz val="16"/>
      <color theme="1"/>
      <name val="Arial Black"/>
      <family val="2"/>
    </font>
    <font>
      <sz val="20"/>
      <color theme="1"/>
      <name val="Arial Black"/>
      <family val="2"/>
    </font>
    <font>
      <b/>
      <sz val="18"/>
      <color theme="1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B45608"/>
        <bgColor indexed="64"/>
      </patternFill>
    </fill>
    <fill>
      <patternFill patternType="solid">
        <fgColor rgb="FF973822"/>
        <bgColor indexed="64"/>
      </patternFill>
    </fill>
    <fill>
      <patternFill patternType="solid">
        <fgColor rgb="FF00206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thin">
        <color indexed="64"/>
      </right>
      <top style="double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0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theme="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3">
    <xf numFmtId="0" fontId="0" fillId="0" borderId="0" xfId="0"/>
    <xf numFmtId="9" fontId="0" fillId="2" borderId="0" xfId="2" applyFont="1" applyFill="1" applyAlignment="1">
      <alignment horizontal="center"/>
    </xf>
    <xf numFmtId="10" fontId="0" fillId="2" borderId="0" xfId="2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9" fontId="0" fillId="0" borderId="0" xfId="0" applyNumberFormat="1" applyAlignment="1">
      <alignment horizontal="center" vertical="center"/>
    </xf>
    <xf numFmtId="10" fontId="0" fillId="4" borderId="0" xfId="2" applyNumberFormat="1" applyFont="1" applyFill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3" fillId="6" borderId="0" xfId="2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7" borderId="3" xfId="0" applyFill="1" applyBorder="1"/>
    <xf numFmtId="0" fontId="0" fillId="7" borderId="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8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3" borderId="5" xfId="0" applyFill="1" applyBorder="1"/>
    <xf numFmtId="0" fontId="6" fillId="8" borderId="11" xfId="0" applyFont="1" applyFill="1" applyBorder="1" applyAlignment="1">
      <alignment horizontal="center" vertical="center"/>
    </xf>
    <xf numFmtId="0" fontId="0" fillId="3" borderId="8" xfId="0" applyFill="1" applyBorder="1"/>
    <xf numFmtId="0" fontId="0" fillId="4" borderId="12" xfId="0" applyFill="1" applyBorder="1" applyAlignment="1">
      <alignment horizontal="center"/>
    </xf>
    <xf numFmtId="0" fontId="0" fillId="3" borderId="13" xfId="0" applyFill="1" applyBorder="1"/>
    <xf numFmtId="0" fontId="0" fillId="0" borderId="10" xfId="1" applyNumberFormat="1" applyFont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0" fontId="0" fillId="3" borderId="6" xfId="0" applyFill="1" applyBorder="1"/>
    <xf numFmtId="0" fontId="0" fillId="2" borderId="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14" xfId="0" applyFill="1" applyBorder="1" applyAlignment="1">
      <alignment horizontal="center" vertical="center"/>
    </xf>
    <xf numFmtId="0" fontId="0" fillId="8" borderId="14" xfId="0" applyFill="1" applyBorder="1"/>
    <xf numFmtId="0" fontId="0" fillId="8" borderId="13" xfId="0" applyFill="1" applyBorder="1"/>
    <xf numFmtId="0" fontId="0" fillId="0" borderId="15" xfId="0" applyFill="1" applyBorder="1" applyAlignment="1">
      <alignment horizont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/>
    <xf numFmtId="0" fontId="6" fillId="8" borderId="10" xfId="0" applyFont="1" applyFill="1" applyBorder="1" applyAlignment="1">
      <alignment horizontal="center" vertical="center"/>
    </xf>
    <xf numFmtId="0" fontId="0" fillId="8" borderId="8" xfId="0" applyFill="1" applyBorder="1"/>
    <xf numFmtId="0" fontId="0" fillId="0" borderId="12" xfId="0" applyFill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2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0" fontId="5" fillId="7" borderId="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64" fontId="0" fillId="0" borderId="0" xfId="0" applyNumberFormat="1"/>
    <xf numFmtId="9" fontId="0" fillId="0" borderId="0" xfId="2" applyFont="1" applyAlignment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1" fontId="0" fillId="0" borderId="0" xfId="0" applyNumberFormat="1"/>
    <xf numFmtId="0" fontId="2" fillId="0" borderId="0" xfId="0" applyFont="1"/>
    <xf numFmtId="164" fontId="0" fillId="0" borderId="0" xfId="2" applyNumberFormat="1" applyFont="1" applyAlignment="1">
      <alignment horizontal="center"/>
    </xf>
    <xf numFmtId="164" fontId="13" fillId="10" borderId="0" xfId="0" applyNumberFormat="1" applyFont="1" applyFill="1" applyAlignment="1">
      <alignment vertical="center"/>
    </xf>
    <xf numFmtId="164" fontId="14" fillId="10" borderId="0" xfId="0" applyNumberFormat="1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2" applyNumberFormat="1" applyFont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" fontId="16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9" fontId="8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0" fillId="12" borderId="12" xfId="0" applyNumberFormat="1" applyFill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0" fillId="13" borderId="1" xfId="0" applyFill="1" applyBorder="1" applyAlignment="1">
      <alignment vertical="center"/>
    </xf>
    <xf numFmtId="1" fontId="0" fillId="12" borderId="4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4" xfId="1" applyNumberFormat="1" applyFont="1" applyBorder="1" applyAlignment="1">
      <alignment horizontal="left" vertical="center" wrapText="1"/>
    </xf>
    <xf numFmtId="1" fontId="0" fillId="0" borderId="2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12" borderId="10" xfId="1" applyNumberFormat="1" applyFont="1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vertical="center" wrapText="1"/>
    </xf>
    <xf numFmtId="165" fontId="0" fillId="13" borderId="23" xfId="0" applyNumberForma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1" fontId="0" fillId="0" borderId="5" xfId="2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/>
    </xf>
    <xf numFmtId="1" fontId="0" fillId="12" borderId="27" xfId="0" applyNumberFormat="1" applyFill="1" applyBorder="1" applyAlignment="1">
      <alignment horizontal="center" vertical="center"/>
    </xf>
    <xf numFmtId="1" fontId="0" fillId="13" borderId="23" xfId="0" applyNumberFormat="1" applyFill="1" applyBorder="1" applyAlignment="1">
      <alignment horizontal="center" vertical="center"/>
    </xf>
    <xf numFmtId="0" fontId="0" fillId="0" borderId="14" xfId="1" applyNumberFormat="1" applyFont="1" applyBorder="1" applyAlignment="1">
      <alignment horizontal="left" vertical="center"/>
    </xf>
    <xf numFmtId="10" fontId="0" fillId="0" borderId="5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12" borderId="10" xfId="1" applyNumberFormat="1" applyFont="1" applyFill="1" applyBorder="1" applyAlignment="1">
      <alignment horizontal="left" vertical="center"/>
    </xf>
    <xf numFmtId="165" fontId="0" fillId="12" borderId="12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1" fontId="0" fillId="12" borderId="29" xfId="0" applyNumberFormat="1" applyFill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0" fontId="0" fillId="14" borderId="1" xfId="0" applyFill="1" applyBorder="1" applyAlignment="1">
      <alignment vertical="center" wrapText="1"/>
    </xf>
    <xf numFmtId="1" fontId="0" fillId="14" borderId="2" xfId="0" applyNumberForma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 wrapText="1"/>
    </xf>
    <xf numFmtId="164" fontId="20" fillId="10" borderId="6" xfId="2" applyNumberFormat="1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10" fontId="3" fillId="6" borderId="0" xfId="2" applyNumberFormat="1" applyFont="1" applyFill="1" applyAlignment="1">
      <alignment horizontal="center" vertical="center" wrapText="1"/>
    </xf>
    <xf numFmtId="10" fontId="0" fillId="5" borderId="0" xfId="2" applyNumberFormat="1" applyFont="1" applyFill="1" applyAlignment="1">
      <alignment horizontal="center" vertical="center" wrapText="1"/>
    </xf>
    <xf numFmtId="10" fontId="0" fillId="4" borderId="0" xfId="2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7" borderId="4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6" borderId="0" xfId="0" applyFont="1" applyFill="1" applyAlignment="1"/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5" borderId="0" xfId="0" applyFill="1" applyAlignment="1"/>
    <xf numFmtId="10" fontId="0" fillId="0" borderId="0" xfId="2" applyNumberFormat="1" applyFont="1" applyFill="1" applyAlignment="1">
      <alignment horizontal="center"/>
    </xf>
    <xf numFmtId="0" fontId="0" fillId="4" borderId="0" xfId="0" applyFill="1" applyAlignment="1"/>
    <xf numFmtId="166" fontId="0" fillId="0" borderId="0" xfId="0" applyNumberFormat="1" applyAlignment="1">
      <alignment horizontal="center" vertical="center"/>
    </xf>
    <xf numFmtId="0" fontId="0" fillId="2" borderId="0" xfId="0" applyFill="1" applyAlignment="1"/>
    <xf numFmtId="0" fontId="0" fillId="0" borderId="0" xfId="1" applyNumberFormat="1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0" fillId="8" borderId="0" xfId="0" applyFont="1" applyFill="1"/>
    <xf numFmtId="0" fontId="0" fillId="8" borderId="5" xfId="0" applyFont="1" applyFill="1" applyBorder="1"/>
    <xf numFmtId="1" fontId="0" fillId="0" borderId="23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" fontId="0" fillId="0" borderId="3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12" borderId="1" xfId="0" applyFill="1" applyBorder="1" applyAlignment="1">
      <alignment vertical="center"/>
    </xf>
    <xf numFmtId="0" fontId="6" fillId="8" borderId="26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12" borderId="3" xfId="2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" fontId="0" fillId="0" borderId="15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3" borderId="32" xfId="0" applyFill="1" applyBorder="1"/>
    <xf numFmtId="1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1" fontId="0" fillId="0" borderId="7" xfId="0" applyNumberFormat="1" applyBorder="1" applyAlignment="1">
      <alignment horizontal="center" vertical="center"/>
    </xf>
    <xf numFmtId="0" fontId="0" fillId="8" borderId="5" xfId="0" applyFill="1" applyBorder="1"/>
    <xf numFmtId="0" fontId="0" fillId="0" borderId="7" xfId="0" applyFill="1" applyBorder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6" fillId="5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6" fillId="0" borderId="0" xfId="0" applyFont="1" applyFill="1" applyBorder="1" applyAlignment="1">
      <alignment horizontal="right" wrapText="1"/>
    </xf>
    <xf numFmtId="167" fontId="0" fillId="0" borderId="0" xfId="1" applyNumberFormat="1" applyFont="1" applyAlignment="1">
      <alignment horizontal="center" vertical="center"/>
    </xf>
    <xf numFmtId="170" fontId="0" fillId="0" borderId="0" xfId="2" applyNumberFormat="1" applyFont="1" applyAlignment="1">
      <alignment horizontal="center"/>
    </xf>
    <xf numFmtId="170" fontId="0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 vertical="center"/>
    </xf>
    <xf numFmtId="0" fontId="27" fillId="0" borderId="0" xfId="0" applyFont="1"/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5" xfId="2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10" fontId="0" fillId="0" borderId="5" xfId="2" applyNumberFormat="1" applyFont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9" fontId="0" fillId="0" borderId="1" xfId="2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165" fontId="0" fillId="17" borderId="12" xfId="0" applyNumberFormat="1" applyFill="1" applyBorder="1" applyAlignment="1">
      <alignment horizontal="center" vertical="center"/>
    </xf>
    <xf numFmtId="0" fontId="0" fillId="17" borderId="10" xfId="1" applyNumberFormat="1" applyFont="1" applyFill="1" applyBorder="1" applyAlignment="1">
      <alignment horizontal="left" vertical="center"/>
    </xf>
    <xf numFmtId="165" fontId="0" fillId="16" borderId="12" xfId="0" applyNumberFormat="1" applyFill="1" applyBorder="1" applyAlignment="1">
      <alignment horizontal="center" vertical="center"/>
    </xf>
    <xf numFmtId="1" fontId="0" fillId="13" borderId="4" xfId="0" applyNumberFormat="1" applyFill="1" applyBorder="1" applyAlignment="1">
      <alignment horizontal="center" vertical="center"/>
    </xf>
    <xf numFmtId="1" fontId="0" fillId="13" borderId="4" xfId="0" applyNumberFormat="1" applyFill="1" applyBorder="1" applyAlignment="1">
      <alignment horizontal="left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9" fillId="14" borderId="31" xfId="0" applyFont="1" applyFill="1" applyBorder="1" applyAlignment="1">
      <alignment horizontal="center" vertical="center" wrapText="1"/>
    </xf>
    <xf numFmtId="0" fontId="19" fillId="11" borderId="30" xfId="0" applyFont="1" applyFill="1" applyBorder="1" applyAlignment="1">
      <alignment horizontal="center" vertical="center" wrapText="1"/>
    </xf>
    <xf numFmtId="0" fontId="19" fillId="15" borderId="30" xfId="0" applyFont="1" applyFill="1" applyBorder="1" applyAlignment="1">
      <alignment horizontal="center" vertical="center" wrapText="1"/>
    </xf>
    <xf numFmtId="0" fontId="19" fillId="13" borderId="30" xfId="0" applyFont="1" applyFill="1" applyBorder="1" applyAlignment="1">
      <alignment horizontal="center" vertical="center" wrapText="1"/>
    </xf>
    <xf numFmtId="0" fontId="19" fillId="16" borderId="30" xfId="0" applyFont="1" applyFill="1" applyBorder="1" applyAlignment="1">
      <alignment horizontal="center" vertical="center" wrapText="1"/>
    </xf>
    <xf numFmtId="0" fontId="19" fillId="17" borderId="29" xfId="0" applyFont="1" applyFill="1" applyBorder="1" applyAlignment="1">
      <alignment horizontal="center" vertical="center" wrapText="1"/>
    </xf>
    <xf numFmtId="1" fontId="0" fillId="0" borderId="23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165" fontId="0" fillId="0" borderId="21" xfId="0" applyNumberFormat="1" applyFill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" fontId="0" fillId="14" borderId="23" xfId="0" applyNumberFormat="1" applyFill="1" applyBorder="1" applyAlignment="1">
      <alignment horizontal="center" vertical="center"/>
    </xf>
    <xf numFmtId="1" fontId="0" fillId="14" borderId="4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center"/>
    </xf>
    <xf numFmtId="0" fontId="0" fillId="0" borderId="9" xfId="0" applyFill="1" applyBorder="1" applyAlignment="1">
      <alignment vertical="center"/>
    </xf>
    <xf numFmtId="0" fontId="0" fillId="0" borderId="9" xfId="0" applyFill="1" applyBorder="1" applyAlignment="1">
      <alignment horizontal="center"/>
    </xf>
    <xf numFmtId="1" fontId="0" fillId="0" borderId="30" xfId="0" applyNumberFormat="1" applyFill="1" applyBorder="1" applyAlignment="1">
      <alignment horizontal="center" vertical="center"/>
    </xf>
    <xf numFmtId="1" fontId="0" fillId="0" borderId="29" xfId="0" applyNumberFormat="1" applyFill="1" applyBorder="1" applyAlignment="1">
      <alignment horizontal="center" vertical="center"/>
    </xf>
    <xf numFmtId="0" fontId="0" fillId="0" borderId="9" xfId="0" applyFill="1" applyBorder="1" applyAlignment="1"/>
    <xf numFmtId="0" fontId="0" fillId="0" borderId="27" xfId="0" applyFill="1" applyBorder="1" applyAlignment="1">
      <alignment horizontal="left"/>
    </xf>
    <xf numFmtId="0" fontId="25" fillId="15" borderId="30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vertical="center"/>
    </xf>
    <xf numFmtId="0" fontId="0" fillId="13" borderId="0" xfId="0" applyFill="1" applyAlignment="1">
      <alignment vertical="center"/>
    </xf>
    <xf numFmtId="0" fontId="0" fillId="16" borderId="10" xfId="1" applyNumberFormat="1" applyFont="1" applyFill="1" applyBorder="1" applyAlignment="1">
      <alignment horizontal="left" vertical="center"/>
    </xf>
    <xf numFmtId="1" fontId="0" fillId="0" borderId="21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 wrapText="1"/>
    </xf>
    <xf numFmtId="1" fontId="0" fillId="0" borderId="22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" fontId="0" fillId="14" borderId="24" xfId="0" applyNumberFormat="1" applyFill="1" applyBorder="1" applyAlignment="1">
      <alignment horizontal="center" vertical="center"/>
    </xf>
    <xf numFmtId="1" fontId="0" fillId="14" borderId="15" xfId="0" applyNumberFormat="1" applyFill="1" applyBorder="1" applyAlignment="1">
      <alignment horizontal="center" vertical="center"/>
    </xf>
    <xf numFmtId="0" fontId="0" fillId="14" borderId="14" xfId="1" applyNumberFormat="1" applyFont="1" applyFill="1" applyBorder="1" applyAlignment="1">
      <alignment horizontal="left" vertical="center" wrapText="1"/>
    </xf>
    <xf numFmtId="165" fontId="0" fillId="16" borderId="30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left"/>
    </xf>
    <xf numFmtId="2" fontId="0" fillId="12" borderId="4" xfId="0" applyNumberFormat="1" applyFill="1" applyBorder="1" applyAlignment="1">
      <alignment horizontal="center" vertical="center"/>
    </xf>
    <xf numFmtId="2" fontId="0" fillId="14" borderId="25" xfId="0" applyNumberFormat="1" applyFill="1" applyBorder="1" applyAlignment="1">
      <alignment horizontal="center" vertical="center"/>
    </xf>
    <xf numFmtId="166" fontId="0" fillId="14" borderId="25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23" xfId="0" applyNumberFormat="1" applyFill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1" fontId="0" fillId="14" borderId="35" xfId="0" applyNumberFormat="1" applyFill="1" applyBorder="1" applyAlignment="1">
      <alignment horizontal="center" vertical="center"/>
    </xf>
    <xf numFmtId="1" fontId="0" fillId="14" borderId="34" xfId="0" applyNumberFormat="1" applyFill="1" applyBorder="1" applyAlignment="1">
      <alignment horizontal="center" vertical="center"/>
    </xf>
    <xf numFmtId="0" fontId="0" fillId="14" borderId="14" xfId="1" applyNumberFormat="1" applyFont="1" applyFill="1" applyBorder="1" applyAlignment="1">
      <alignment horizontal="left" vertical="center"/>
    </xf>
    <xf numFmtId="1" fontId="0" fillId="0" borderId="31" xfId="0" applyNumberFormat="1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0" fontId="0" fillId="0" borderId="10" xfId="1" applyNumberFormat="1" applyFont="1" applyFill="1" applyBorder="1" applyAlignment="1">
      <alignment horizontal="left" vertical="center" wrapText="1"/>
    </xf>
    <xf numFmtId="0" fontId="19" fillId="15" borderId="1" xfId="0" applyFont="1" applyFill="1" applyBorder="1" applyAlignment="1">
      <alignment horizontal="left" vertical="center" wrapText="1"/>
    </xf>
    <xf numFmtId="1" fontId="0" fillId="0" borderId="9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1" fontId="0" fillId="0" borderId="28" xfId="0" applyNumberFormat="1" applyFill="1" applyBorder="1" applyAlignment="1">
      <alignment vertical="center"/>
    </xf>
    <xf numFmtId="165" fontId="0" fillId="14" borderId="2" xfId="0" applyNumberFormat="1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0" fontId="0" fillId="0" borderId="1" xfId="2" applyNumberFormat="1" applyFont="1" applyBorder="1" applyAlignment="1">
      <alignment horizontal="center"/>
    </xf>
    <xf numFmtId="2" fontId="0" fillId="13" borderId="23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28" fillId="10" borderId="36" xfId="0" applyNumberFormat="1" applyFont="1" applyFill="1" applyBorder="1" applyAlignment="1">
      <alignment horizontal="center" vertical="center"/>
    </xf>
    <xf numFmtId="164" fontId="28" fillId="10" borderId="37" xfId="0" applyNumberFormat="1" applyFont="1" applyFill="1" applyBorder="1" applyAlignment="1">
      <alignment horizontal="center" vertical="center"/>
    </xf>
    <xf numFmtId="164" fontId="28" fillId="10" borderId="38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5" xfId="2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10" fontId="0" fillId="0" borderId="5" xfId="2" applyNumberFormat="1" applyFont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0" fontId="0" fillId="0" borderId="10" xfId="1" applyNumberFormat="1" applyFon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  <xf numFmtId="9" fontId="0" fillId="0" borderId="1" xfId="2" applyFont="1" applyBorder="1" applyAlignment="1">
      <alignment horizontal="center"/>
    </xf>
    <xf numFmtId="0" fontId="0" fillId="14" borderId="4" xfId="0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5" borderId="1" xfId="0" applyFill="1" applyBorder="1" applyAlignment="1">
      <alignment horizontal="center"/>
    </xf>
    <xf numFmtId="0" fontId="6" fillId="6" borderId="1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9" fillId="12" borderId="23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1" fontId="0" fillId="17" borderId="12" xfId="0" applyNumberFormat="1" applyFill="1" applyBorder="1" applyAlignment="1">
      <alignment horizontal="center" vertical="center"/>
    </xf>
    <xf numFmtId="0" fontId="3" fillId="17" borderId="5" xfId="0" applyFont="1" applyFill="1" applyBorder="1" applyAlignment="1">
      <alignment vertical="center"/>
    </xf>
    <xf numFmtId="0" fontId="6" fillId="8" borderId="39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9" fontId="5" fillId="0" borderId="1" xfId="2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5" xfId="2" applyNumberFormat="1" applyFont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2" fillId="0" borderId="7" xfId="0" applyFont="1" applyBorder="1" applyAlignment="1">
      <alignment horizontal="center" vertical="center" textRotation="90"/>
    </xf>
    <xf numFmtId="10" fontId="0" fillId="0" borderId="5" xfId="2" applyNumberFormat="1" applyFont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1" fontId="0" fillId="17" borderId="4" xfId="0" applyNumberFormat="1" applyFill="1" applyBorder="1" applyAlignment="1">
      <alignment horizontal="center" vertical="center"/>
    </xf>
    <xf numFmtId="0" fontId="0" fillId="17" borderId="1" xfId="0" applyFill="1" applyBorder="1" applyAlignment="1">
      <alignment vertical="center"/>
    </xf>
    <xf numFmtId="1" fontId="0" fillId="12" borderId="23" xfId="0" applyNumberForma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165" fontId="0" fillId="0" borderId="23" xfId="0" applyNumberFormat="1" applyBorder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6" fillId="8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5" fontId="0" fillId="0" borderId="0" xfId="0" applyNumberFormat="1" applyAlignment="1">
      <alignment horizontal="left"/>
    </xf>
    <xf numFmtId="1" fontId="0" fillId="11" borderId="23" xfId="0" applyNumberFormat="1" applyFill="1" applyBorder="1" applyAlignment="1">
      <alignment horizontal="center" vertical="center"/>
    </xf>
    <xf numFmtId="1" fontId="0" fillId="11" borderId="4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2" fontId="0" fillId="17" borderId="1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5" xfId="2" applyNumberFormat="1" applyFont="1" applyBorder="1" applyAlignment="1">
      <alignment horizontal="center" vertical="center"/>
    </xf>
    <xf numFmtId="10" fontId="0" fillId="0" borderId="5" xfId="2" applyNumberFormat="1" applyFont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8" borderId="32" xfId="0" applyFill="1" applyBorder="1" applyAlignment="1">
      <alignment horizontal="center"/>
    </xf>
    <xf numFmtId="0" fontId="6" fillId="8" borderId="31" xfId="0" applyFont="1" applyFill="1" applyBorder="1" applyAlignment="1">
      <alignment horizontal="center" vertical="center"/>
    </xf>
    <xf numFmtId="1" fontId="0" fillId="14" borderId="25" xfId="0" applyNumberFormat="1" applyFill="1" applyBorder="1" applyAlignment="1">
      <alignment horizontal="center" vertical="center"/>
    </xf>
    <xf numFmtId="0" fontId="0" fillId="11" borderId="4" xfId="0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2" fontId="0" fillId="0" borderId="0" xfId="0" applyNumberFormat="1" applyAlignment="1">
      <alignment horizontal="left"/>
    </xf>
    <xf numFmtId="1" fontId="2" fillId="0" borderId="0" xfId="0" applyNumberFormat="1" applyFont="1" applyAlignment="1">
      <alignment horizontal="left" vertical="center"/>
    </xf>
    <xf numFmtId="1" fontId="0" fillId="17" borderId="23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0" fontId="31" fillId="18" borderId="4" xfId="0" applyFont="1" applyFill="1" applyBorder="1" applyAlignment="1">
      <alignment horizontal="center" vertical="center" wrapText="1"/>
    </xf>
    <xf numFmtId="1" fontId="30" fillId="18" borderId="12" xfId="0" applyNumberFormat="1" applyFont="1" applyFill="1" applyBorder="1" applyAlignment="1">
      <alignment horizontal="center" vertical="center"/>
    </xf>
    <xf numFmtId="0" fontId="30" fillId="18" borderId="5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0" fontId="19" fillId="11" borderId="30" xfId="0" applyFont="1" applyFill="1" applyBorder="1" applyAlignment="1">
      <alignment horizontal="left" vertical="center" wrapText="1"/>
    </xf>
    <xf numFmtId="0" fontId="19" fillId="15" borderId="30" xfId="0" applyFont="1" applyFill="1" applyBorder="1" applyAlignment="1">
      <alignment horizontal="left" vertical="center" wrapText="1"/>
    </xf>
    <xf numFmtId="0" fontId="19" fillId="13" borderId="30" xfId="0" applyFont="1" applyFill="1" applyBorder="1" applyAlignment="1">
      <alignment horizontal="left" vertical="center" wrapText="1"/>
    </xf>
    <xf numFmtId="0" fontId="19" fillId="16" borderId="30" xfId="0" applyFont="1" applyFill="1" applyBorder="1" applyAlignment="1">
      <alignment horizontal="left" vertical="center" wrapText="1"/>
    </xf>
    <xf numFmtId="0" fontId="19" fillId="12" borderId="23" xfId="0" applyFont="1" applyFill="1" applyBorder="1" applyAlignment="1">
      <alignment horizontal="left" vertical="center" wrapText="1"/>
    </xf>
    <xf numFmtId="0" fontId="19" fillId="17" borderId="4" xfId="0" applyFont="1" applyFill="1" applyBorder="1" applyAlignment="1">
      <alignment horizontal="left" vertical="center" wrapText="1"/>
    </xf>
    <xf numFmtId="0" fontId="31" fillId="18" borderId="4" xfId="0" applyFont="1" applyFill="1" applyBorder="1" applyAlignment="1">
      <alignment horizontal="left" vertical="center" wrapText="1"/>
    </xf>
    <xf numFmtId="0" fontId="19" fillId="14" borderId="3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5" xfId="2" applyNumberFormat="1" applyFont="1" applyBorder="1" applyAlignment="1">
      <alignment horizontal="center" vertical="center"/>
    </xf>
    <xf numFmtId="10" fontId="0" fillId="0" borderId="5" xfId="2" applyNumberFormat="1" applyFont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164" fontId="4" fillId="14" borderId="0" xfId="2" applyNumberFormat="1" applyFont="1" applyFill="1" applyBorder="1" applyAlignment="1">
      <alignment horizontal="center" vertical="center" wrapText="1"/>
    </xf>
    <xf numFmtId="164" fontId="4" fillId="11" borderId="0" xfId="2" applyNumberFormat="1" applyFont="1" applyFill="1" applyBorder="1" applyAlignment="1">
      <alignment horizontal="center" vertical="center" wrapText="1"/>
    </xf>
    <xf numFmtId="164" fontId="4" fillId="15" borderId="0" xfId="2" applyNumberFormat="1" applyFont="1" applyFill="1" applyBorder="1" applyAlignment="1">
      <alignment horizontal="center" vertical="center" wrapText="1"/>
    </xf>
    <xf numFmtId="164" fontId="4" fillId="13" borderId="0" xfId="2" applyNumberFormat="1" applyFont="1" applyFill="1" applyBorder="1" applyAlignment="1">
      <alignment horizontal="center" vertical="center" wrapText="1"/>
    </xf>
    <xf numFmtId="164" fontId="4" fillId="16" borderId="0" xfId="2" applyNumberFormat="1" applyFont="1" applyFill="1" applyBorder="1" applyAlignment="1">
      <alignment horizontal="center" vertical="center" wrapText="1"/>
    </xf>
    <xf numFmtId="164" fontId="4" fillId="12" borderId="0" xfId="2" applyNumberFormat="1" applyFont="1" applyFill="1" applyBorder="1" applyAlignment="1">
      <alignment horizontal="center" vertical="center" wrapText="1"/>
    </xf>
    <xf numFmtId="164" fontId="4" fillId="17" borderId="0" xfId="2" applyNumberFormat="1" applyFont="1" applyFill="1" applyBorder="1" applyAlignment="1">
      <alignment horizontal="center" vertical="center" wrapText="1"/>
    </xf>
    <xf numFmtId="164" fontId="32" fillId="18" borderId="0" xfId="2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2" fillId="0" borderId="0" xfId="0" applyNumberFormat="1" applyFont="1" applyAlignment="1">
      <alignment vertical="center"/>
    </xf>
    <xf numFmtId="0" fontId="6" fillId="8" borderId="5" xfId="0" applyFont="1" applyFill="1" applyBorder="1" applyAlignment="1">
      <alignment vertical="center"/>
    </xf>
    <xf numFmtId="0" fontId="6" fillId="8" borderId="6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vertical="center"/>
    </xf>
    <xf numFmtId="9" fontId="0" fillId="2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9" fontId="0" fillId="4" borderId="0" xfId="2" applyNumberFormat="1" applyFont="1" applyFill="1" applyAlignment="1">
      <alignment horizontal="center"/>
    </xf>
    <xf numFmtId="164" fontId="0" fillId="5" borderId="0" xfId="2" applyNumberFormat="1" applyFont="1" applyFill="1" applyAlignment="1">
      <alignment horizontal="center"/>
    </xf>
    <xf numFmtId="9" fontId="0" fillId="5" borderId="0" xfId="2" applyNumberFormat="1" applyFont="1" applyFill="1" applyAlignment="1">
      <alignment horizontal="center"/>
    </xf>
    <xf numFmtId="164" fontId="3" fillId="6" borderId="0" xfId="2" applyNumberFormat="1" applyFont="1" applyFill="1" applyAlignment="1">
      <alignment horizontal="center"/>
    </xf>
    <xf numFmtId="168" fontId="0" fillId="0" borderId="0" xfId="2" applyNumberFormat="1" applyFont="1" applyAlignment="1">
      <alignment vertical="center"/>
    </xf>
    <xf numFmtId="0" fontId="0" fillId="3" borderId="5" xfId="0" applyFill="1" applyBorder="1" applyAlignment="1"/>
    <xf numFmtId="0" fontId="0" fillId="3" borderId="8" xfId="0" applyFill="1" applyBorder="1" applyAlignment="1"/>
    <xf numFmtId="0" fontId="6" fillId="8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" fontId="30" fillId="0" borderId="12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164" fontId="0" fillId="0" borderId="0" xfId="2" applyNumberFormat="1" applyFont="1"/>
    <xf numFmtId="10" fontId="0" fillId="0" borderId="0" xfId="2" applyNumberFormat="1" applyFont="1"/>
    <xf numFmtId="10" fontId="2" fillId="0" borderId="0" xfId="2" applyNumberFormat="1" applyFont="1" applyAlignment="1">
      <alignment horizontal="center"/>
    </xf>
    <xf numFmtId="0" fontId="34" fillId="0" borderId="0" xfId="0" applyFont="1" applyAlignment="1">
      <alignment vertical="center"/>
    </xf>
    <xf numFmtId="0" fontId="0" fillId="8" borderId="3" xfId="0" applyFont="1" applyFill="1" applyBorder="1" applyAlignment="1"/>
    <xf numFmtId="0" fontId="0" fillId="8" borderId="6" xfId="0" applyFont="1" applyFill="1" applyBorder="1" applyAlignment="1"/>
    <xf numFmtId="0" fontId="6" fillId="11" borderId="0" xfId="0" applyFont="1" applyFill="1" applyBorder="1" applyAlignment="1">
      <alignment vertical="center" wrapText="1"/>
    </xf>
    <xf numFmtId="0" fontId="6" fillId="11" borderId="7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vertical="center" wrapText="1"/>
    </xf>
    <xf numFmtId="0" fontId="6" fillId="11" borderId="27" xfId="0" applyFont="1" applyFill="1" applyBorder="1" applyAlignment="1">
      <alignment vertical="center" wrapText="1"/>
    </xf>
    <xf numFmtId="0" fontId="31" fillId="17" borderId="4" xfId="0" applyFont="1" applyFill="1" applyBorder="1" applyAlignment="1">
      <alignment horizontal="center" vertical="center" wrapText="1"/>
    </xf>
    <xf numFmtId="1" fontId="0" fillId="17" borderId="4" xfId="0" applyNumberFormat="1" applyFill="1" applyBorder="1" applyAlignment="1">
      <alignment horizontal="left" vertical="center"/>
    </xf>
    <xf numFmtId="2" fontId="0" fillId="17" borderId="23" xfId="0" applyNumberFormat="1" applyFill="1" applyBorder="1" applyAlignment="1">
      <alignment horizontal="center" vertical="center"/>
    </xf>
    <xf numFmtId="1" fontId="0" fillId="16" borderId="23" xfId="0" applyNumberFormat="1" applyFill="1" applyBorder="1" applyAlignment="1">
      <alignment horizontal="center" vertical="center"/>
    </xf>
    <xf numFmtId="1" fontId="0" fillId="16" borderId="4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vertical="center"/>
    </xf>
    <xf numFmtId="2" fontId="0" fillId="16" borderId="23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5" xfId="2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10" fontId="0" fillId="0" borderId="5" xfId="2" applyNumberFormat="1" applyFont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8" borderId="3" xfId="0" applyFill="1" applyBorder="1" applyAlignment="1">
      <alignment horizontal="center"/>
    </xf>
    <xf numFmtId="0" fontId="6" fillId="8" borderId="3" xfId="0" applyFont="1" applyFill="1" applyBorder="1" applyAlignment="1">
      <alignment horizontal="center" vertical="center"/>
    </xf>
    <xf numFmtId="0" fontId="0" fillId="8" borderId="32" xfId="0" applyFill="1" applyBorder="1" applyAlignment="1">
      <alignment horizontal="center"/>
    </xf>
    <xf numFmtId="0" fontId="0" fillId="0" borderId="19" xfId="0" applyBorder="1" applyAlignment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1" xfId="0" applyFill="1" applyBorder="1"/>
    <xf numFmtId="0" fontId="5" fillId="7" borderId="0" xfId="0" applyFont="1" applyFill="1" applyAlignment="1">
      <alignment horizontal="right"/>
    </xf>
    <xf numFmtId="14" fontId="25" fillId="0" borderId="1" xfId="0" applyNumberFormat="1" applyFont="1" applyBorder="1" applyAlignment="1">
      <alignment textRotation="67"/>
    </xf>
    <xf numFmtId="0" fontId="29" fillId="11" borderId="0" xfId="0" applyFont="1" applyFill="1" applyBorder="1" applyAlignment="1">
      <alignment vertical="center" wrapText="1"/>
    </xf>
    <xf numFmtId="0" fontId="29" fillId="8" borderId="0" xfId="0" applyFont="1" applyFill="1" applyBorder="1" applyAlignment="1">
      <alignment vertical="center" wrapText="1"/>
    </xf>
    <xf numFmtId="165" fontId="0" fillId="0" borderId="7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vertical="center"/>
    </xf>
    <xf numFmtId="1" fontId="0" fillId="0" borderId="23" xfId="0" applyNumberFormat="1" applyFill="1" applyBorder="1" applyAlignment="1">
      <alignment vertical="center"/>
    </xf>
    <xf numFmtId="1" fontId="0" fillId="0" borderId="4" xfId="0" applyNumberFormat="1" applyFill="1" applyBorder="1" applyAlignment="1">
      <alignment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4" borderId="14" xfId="0" applyFill="1" applyBorder="1" applyAlignment="1">
      <alignment vertical="center"/>
    </xf>
    <xf numFmtId="0" fontId="2" fillId="0" borderId="1" xfId="0" applyFont="1" applyBorder="1" applyAlignment="1">
      <alignment horizontal="center" vertical="center" textRotation="90"/>
    </xf>
    <xf numFmtId="0" fontId="0" fillId="3" borderId="5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9" fontId="18" fillId="9" borderId="13" xfId="2" applyNumberFormat="1" applyFont="1" applyFill="1" applyBorder="1" applyAlignment="1">
      <alignment horizontal="center" vertical="center"/>
    </xf>
    <xf numFmtId="9" fontId="18" fillId="9" borderId="5" xfId="2" applyNumberFormat="1" applyFont="1" applyFill="1" applyBorder="1" applyAlignment="1">
      <alignment horizontal="center" vertical="center"/>
    </xf>
    <xf numFmtId="9" fontId="18" fillId="9" borderId="8" xfId="2" applyNumberFormat="1" applyFont="1" applyFill="1" applyBorder="1" applyAlignment="1">
      <alignment horizontal="center" vertical="center"/>
    </xf>
    <xf numFmtId="164" fontId="0" fillId="0" borderId="13" xfId="2" applyNumberFormat="1" applyFont="1" applyBorder="1" applyAlignment="1">
      <alignment horizontal="center" vertical="center"/>
    </xf>
    <xf numFmtId="164" fontId="0" fillId="0" borderId="5" xfId="2" applyNumberFormat="1" applyFont="1" applyBorder="1" applyAlignment="1">
      <alignment horizontal="center" vertical="center"/>
    </xf>
    <xf numFmtId="164" fontId="0" fillId="0" borderId="8" xfId="2" applyNumberFormat="1" applyFont="1" applyBorder="1" applyAlignment="1">
      <alignment horizontal="center" vertical="center"/>
    </xf>
    <xf numFmtId="0" fontId="3" fillId="6" borderId="1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0" fillId="12" borderId="3" xfId="2" applyNumberFormat="1" applyFont="1" applyFill="1" applyBorder="1" applyAlignment="1">
      <alignment horizontal="left" vertical="center" wrapText="1"/>
    </xf>
    <xf numFmtId="0" fontId="0" fillId="12" borderId="8" xfId="2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8" borderId="2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9" fontId="0" fillId="0" borderId="13" xfId="2" applyNumberFormat="1" applyFont="1" applyBorder="1" applyAlignment="1">
      <alignment horizontal="center" vertical="center"/>
    </xf>
    <xf numFmtId="9" fontId="0" fillId="0" borderId="5" xfId="2" applyNumberFormat="1" applyFont="1" applyBorder="1" applyAlignment="1">
      <alignment horizontal="center" vertical="center"/>
    </xf>
    <xf numFmtId="9" fontId="0" fillId="0" borderId="8" xfId="2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13" xfId="2" applyNumberFormat="1" applyFont="1" applyBorder="1" applyAlignment="1">
      <alignment horizontal="center" vertical="center"/>
    </xf>
    <xf numFmtId="1" fontId="0" fillId="0" borderId="5" xfId="2" applyNumberFormat="1" applyFont="1" applyBorder="1" applyAlignment="1">
      <alignment horizontal="center" vertical="center"/>
    </xf>
    <xf numFmtId="1" fontId="0" fillId="0" borderId="8" xfId="2" applyNumberFormat="1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0" fillId="0" borderId="5" xfId="0" applyBorder="1"/>
    <xf numFmtId="0" fontId="0" fillId="0" borderId="8" xfId="0" applyBorder="1"/>
    <xf numFmtId="0" fontId="0" fillId="0" borderId="5" xfId="0" applyBorder="1" applyAlignment="1">
      <alignment horizontal="left" vertical="center" wrapText="1"/>
    </xf>
    <xf numFmtId="0" fontId="0" fillId="4" borderId="8" xfId="0" applyFill="1" applyBorder="1" applyAlignment="1">
      <alignment horizontal="center"/>
    </xf>
    <xf numFmtId="165" fontId="0" fillId="0" borderId="1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4" fillId="7" borderId="1" xfId="0" applyFont="1" applyFill="1" applyBorder="1" applyAlignment="1">
      <alignment horizontal="center" textRotation="45"/>
    </xf>
    <xf numFmtId="0" fontId="4" fillId="7" borderId="3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textRotation="90"/>
    </xf>
    <xf numFmtId="14" fontId="0" fillId="0" borderId="13" xfId="0" applyNumberFormat="1" applyBorder="1" applyAlignment="1">
      <alignment horizontal="center" vertical="center" textRotation="45"/>
    </xf>
    <xf numFmtId="14" fontId="0" fillId="0" borderId="5" xfId="0" applyNumberFormat="1" applyBorder="1" applyAlignment="1">
      <alignment horizontal="center" vertical="center" textRotation="45"/>
    </xf>
    <xf numFmtId="14" fontId="0" fillId="0" borderId="8" xfId="0" applyNumberFormat="1" applyBorder="1" applyAlignment="1">
      <alignment horizontal="center" vertical="center" textRotation="45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13" xfId="0" applyNumberFormat="1" applyFill="1" applyBorder="1" applyAlignment="1">
      <alignment horizontal="center" vertical="center" textRotation="45"/>
    </xf>
    <xf numFmtId="14" fontId="0" fillId="0" borderId="8" xfId="0" applyNumberFormat="1" applyFill="1" applyBorder="1" applyAlignment="1">
      <alignment horizontal="center" vertical="center" textRotation="45"/>
    </xf>
    <xf numFmtId="0" fontId="0" fillId="2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18" fillId="9" borderId="3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/>
    </xf>
    <xf numFmtId="10" fontId="0" fillId="0" borderId="13" xfId="2" applyNumberFormat="1" applyFont="1" applyBorder="1" applyAlignment="1">
      <alignment horizontal="center" vertical="center"/>
    </xf>
    <xf numFmtId="10" fontId="0" fillId="0" borderId="5" xfId="2" applyNumberFormat="1" applyFont="1" applyBorder="1" applyAlignment="1">
      <alignment horizontal="center" vertical="center"/>
    </xf>
    <xf numFmtId="10" fontId="0" fillId="0" borderId="8" xfId="2" applyNumberFormat="1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164" fontId="18" fillId="9" borderId="3" xfId="2" applyNumberFormat="1" applyFont="1" applyFill="1" applyBorder="1" applyAlignment="1">
      <alignment horizontal="center" vertical="center"/>
    </xf>
    <xf numFmtId="164" fontId="18" fillId="9" borderId="8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 vertical="center"/>
    </xf>
    <xf numFmtId="0" fontId="0" fillId="0" borderId="33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164" fontId="14" fillId="9" borderId="0" xfId="0" applyNumberFormat="1" applyFont="1" applyFill="1" applyAlignment="1">
      <alignment horizontal="center" vertical="center"/>
    </xf>
    <xf numFmtId="14" fontId="0" fillId="0" borderId="3" xfId="0" applyNumberFormat="1" applyBorder="1" applyAlignment="1">
      <alignment horizontal="center" vertical="center" textRotation="45"/>
    </xf>
    <xf numFmtId="0" fontId="6" fillId="4" borderId="5" xfId="0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9" fontId="18" fillId="9" borderId="3" xfId="2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9" fontId="0" fillId="0" borderId="13" xfId="2" applyFont="1" applyFill="1" applyBorder="1" applyAlignment="1">
      <alignment horizontal="center" vertical="center"/>
    </xf>
    <xf numFmtId="9" fontId="0" fillId="0" borderId="8" xfId="2" applyFont="1" applyFill="1" applyBorder="1" applyAlignment="1">
      <alignment horizontal="center" vertical="center"/>
    </xf>
    <xf numFmtId="9" fontId="0" fillId="0" borderId="3" xfId="2" applyNumberFormat="1" applyFont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165" fontId="0" fillId="0" borderId="3" xfId="0" applyNumberFormat="1" applyBorder="1" applyAlignment="1">
      <alignment horizontal="center" vertical="center"/>
    </xf>
    <xf numFmtId="164" fontId="18" fillId="9" borderId="5" xfId="2" applyNumberFormat="1" applyFont="1" applyFill="1" applyBorder="1" applyAlignment="1">
      <alignment horizontal="center" vertical="center"/>
    </xf>
    <xf numFmtId="164" fontId="18" fillId="9" borderId="13" xfId="2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8" borderId="26" xfId="0" applyFont="1" applyFill="1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5" borderId="2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9" fontId="0" fillId="0" borderId="5" xfId="2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textRotation="45"/>
    </xf>
    <xf numFmtId="0" fontId="0" fillId="0" borderId="6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4" fontId="2" fillId="0" borderId="0" xfId="2" applyNumberFormat="1" applyFont="1" applyAlignment="1">
      <alignment vertical="center"/>
    </xf>
    <xf numFmtId="10" fontId="14" fillId="9" borderId="0" xfId="0" applyNumberFormat="1" applyFont="1" applyFill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/>
    </xf>
    <xf numFmtId="0" fontId="0" fillId="8" borderId="3" xfId="0" applyFill="1" applyBorder="1" applyAlignment="1">
      <alignment horizontal="left" vertical="center" wrapText="1"/>
    </xf>
    <xf numFmtId="0" fontId="0" fillId="8" borderId="8" xfId="0" applyFill="1" applyBorder="1" applyAlignment="1">
      <alignment horizontal="left" vertical="center" wrapText="1"/>
    </xf>
    <xf numFmtId="0" fontId="0" fillId="8" borderId="3" xfId="0" applyFill="1" applyBorder="1" applyAlignment="1">
      <alignment horizontal="center"/>
    </xf>
    <xf numFmtId="168" fontId="0" fillId="0" borderId="0" xfId="2" applyNumberFormat="1" applyFont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6" fillId="8" borderId="8" xfId="0" applyFont="1" applyFill="1" applyBorder="1" applyAlignment="1">
      <alignment horizontal="center" vertical="center"/>
    </xf>
    <xf numFmtId="0" fontId="29" fillId="11" borderId="19" xfId="0" applyFont="1" applyFill="1" applyBorder="1" applyAlignment="1">
      <alignment horizontal="center" vertical="center" wrapText="1"/>
    </xf>
    <xf numFmtId="0" fontId="29" fillId="11" borderId="0" xfId="0" applyFont="1" applyFill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6" fillId="2" borderId="3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165" fontId="0" fillId="0" borderId="13" xfId="2" applyNumberFormat="1" applyFont="1" applyBorder="1" applyAlignment="1">
      <alignment horizontal="center" vertical="center"/>
    </xf>
    <xf numFmtId="165" fontId="0" fillId="0" borderId="5" xfId="2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0" fillId="5" borderId="32" xfId="0" applyFill="1" applyBorder="1" applyAlignment="1">
      <alignment horizontal="center"/>
    </xf>
    <xf numFmtId="0" fontId="6" fillId="5" borderId="1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2" fillId="0" borderId="20" xfId="1" applyNumberFormat="1" applyFont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167" fontId="0" fillId="5" borderId="3" xfId="1" applyNumberFormat="1" applyFont="1" applyFill="1" applyBorder="1" applyAlignment="1">
      <alignment horizontal="center"/>
    </xf>
    <xf numFmtId="167" fontId="0" fillId="5" borderId="32" xfId="1" applyNumberFormat="1" applyFont="1" applyFill="1" applyBorder="1" applyAlignment="1">
      <alignment horizontal="center"/>
    </xf>
    <xf numFmtId="1" fontId="0" fillId="0" borderId="13" xfId="0" applyNumberForma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0" fontId="0" fillId="8" borderId="32" xfId="0" applyFill="1" applyBorder="1" applyAlignment="1">
      <alignment horizontal="center"/>
    </xf>
    <xf numFmtId="0" fontId="36" fillId="11" borderId="19" xfId="0" applyFont="1" applyFill="1" applyBorder="1" applyAlignment="1">
      <alignment horizontal="center" vertical="center"/>
    </xf>
    <xf numFmtId="0" fontId="36" fillId="11" borderId="0" xfId="0" applyFont="1" applyFill="1" applyBorder="1" applyAlignment="1">
      <alignment horizontal="center" vertical="center"/>
    </xf>
    <xf numFmtId="0" fontId="36" fillId="11" borderId="28" xfId="0" applyFont="1" applyFill="1" applyBorder="1" applyAlignment="1">
      <alignment horizontal="center" vertical="center"/>
    </xf>
    <xf numFmtId="0" fontId="36" fillId="11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/>
    </xf>
    <xf numFmtId="0" fontId="0" fillId="4" borderId="32" xfId="0" applyFill="1" applyBorder="1" applyAlignment="1">
      <alignment horizontal="center"/>
    </xf>
    <xf numFmtId="0" fontId="6" fillId="4" borderId="35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8" borderId="3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4" borderId="41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973822"/>
      <color rgb="FFB45608"/>
      <color rgb="FFDF6B0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16"/>
  <c:chart>
    <c:title>
      <c:tx>
        <c:rich>
          <a:bodyPr/>
          <a:lstStyle/>
          <a:p>
            <a:pPr>
              <a:defRPr/>
            </a:pPr>
            <a:r>
              <a:rPr lang="fr-FR" sz="2800" u="sng"/>
              <a:t>TRS Hebdomadaire CPVC 2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'TRS Hebdo'!$D$42</c:f>
              <c:strCache>
                <c:ptCount val="1"/>
                <c:pt idx="0">
                  <c:v>TRS</c:v>
                </c:pt>
              </c:strCache>
            </c:strRef>
          </c:tx>
          <c:spPr>
            <a:solidFill>
              <a:srgbClr val="FFC000"/>
            </a:solidFill>
          </c:spPr>
          <c:dLbls>
            <c:showVal val="1"/>
          </c:dLbls>
          <c:cat>
            <c:strRef>
              <c:f>'TRS Hebdo'!$E$41:$T$41</c:f>
              <c:strCache>
                <c:ptCount val="10"/>
                <c:pt idx="0">
                  <c:v>22 mai-28 mai</c:v>
                </c:pt>
                <c:pt idx="1">
                  <c:v>29 mai-04 juin</c:v>
                </c:pt>
                <c:pt idx="2">
                  <c:v>05 juin-11 juin</c:v>
                </c:pt>
                <c:pt idx="3">
                  <c:v>12 juin-18 juin</c:v>
                </c:pt>
                <c:pt idx="4">
                  <c:v>19 juin-25 juin</c:v>
                </c:pt>
                <c:pt idx="5">
                  <c:v>26 juin-02 juil</c:v>
                </c:pt>
                <c:pt idx="6">
                  <c:v>03 juil-09 juil</c:v>
                </c:pt>
                <c:pt idx="7">
                  <c:v>10 juil-16juil</c:v>
                </c:pt>
                <c:pt idx="8">
                  <c:v>17 juil-23 juil</c:v>
                </c:pt>
                <c:pt idx="9">
                  <c:v>24 juil-30 juil</c:v>
                </c:pt>
              </c:strCache>
            </c:strRef>
          </c:cat>
          <c:val>
            <c:numRef>
              <c:f>'TRS Hebdo'!$E$42:$T$42</c:f>
              <c:numCache>
                <c:formatCode>0%</c:formatCode>
                <c:ptCount val="16"/>
                <c:pt idx="0">
                  <c:v>0.80729166666666674</c:v>
                </c:pt>
                <c:pt idx="1">
                  <c:v>0.68429487179487181</c:v>
                </c:pt>
                <c:pt idx="2">
                  <c:v>0.4513888888888889</c:v>
                </c:pt>
                <c:pt idx="3">
                  <c:v>0.72916666666666663</c:v>
                </c:pt>
                <c:pt idx="4">
                  <c:v>0.76388888888888884</c:v>
                </c:pt>
                <c:pt idx="5" formatCode="0.0%">
                  <c:v>0.4548611111111111</c:v>
                </c:pt>
                <c:pt idx="6">
                  <c:v>0.4982638888888889</c:v>
                </c:pt>
                <c:pt idx="7">
                  <c:v>0.31597222222222221</c:v>
                </c:pt>
              </c:numCache>
            </c:numRef>
          </c:val>
        </c:ser>
        <c:ser>
          <c:idx val="1"/>
          <c:order val="1"/>
          <c:tx>
            <c:strRef>
              <c:f>'TRS Hebdo'!$D$43</c:f>
              <c:strCache>
                <c:ptCount val="1"/>
                <c:pt idx="0">
                  <c:v>planifié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</c:dLbls>
          <c:cat>
            <c:strRef>
              <c:f>'TRS Hebdo'!$E$41:$T$41</c:f>
              <c:strCache>
                <c:ptCount val="10"/>
                <c:pt idx="0">
                  <c:v>22 mai-28 mai</c:v>
                </c:pt>
                <c:pt idx="1">
                  <c:v>29 mai-04 juin</c:v>
                </c:pt>
                <c:pt idx="2">
                  <c:v>05 juin-11 juin</c:v>
                </c:pt>
                <c:pt idx="3">
                  <c:v>12 juin-18 juin</c:v>
                </c:pt>
                <c:pt idx="4">
                  <c:v>19 juin-25 juin</c:v>
                </c:pt>
                <c:pt idx="5">
                  <c:v>26 juin-02 juil</c:v>
                </c:pt>
                <c:pt idx="6">
                  <c:v>03 juil-09 juil</c:v>
                </c:pt>
                <c:pt idx="7">
                  <c:v>10 juil-16juil</c:v>
                </c:pt>
                <c:pt idx="8">
                  <c:v>17 juil-23 juil</c:v>
                </c:pt>
                <c:pt idx="9">
                  <c:v>24 juil-30 juil</c:v>
                </c:pt>
              </c:strCache>
            </c:strRef>
          </c:cat>
          <c:val>
            <c:numRef>
              <c:f>'TRS Hebdo'!$E$43:$T$43</c:f>
              <c:numCache>
                <c:formatCode>0%</c:formatCode>
                <c:ptCount val="16"/>
                <c:pt idx="0" formatCode="0.0%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  <c:pt idx="4">
                  <c:v>8.3333333333333329E-2</c:v>
                </c:pt>
                <c:pt idx="5" formatCode="0.0%">
                  <c:v>0.33333333333333331</c:v>
                </c:pt>
                <c:pt idx="6" formatCode="0.0%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'TRS Hebdo'!$D$44</c:f>
              <c:strCache>
                <c:ptCount val="1"/>
                <c:pt idx="0">
                  <c:v>Sous-Vitesse</c:v>
                </c:pt>
              </c:strCache>
            </c:strRef>
          </c:tx>
          <c:spPr>
            <a:solidFill>
              <a:schemeClr val="accent6"/>
            </a:solidFill>
          </c:spPr>
          <c:dLbls>
            <c:dLbl>
              <c:idx val="0"/>
              <c:layout/>
              <c:showVal val="1"/>
            </c:dLbl>
            <c:delete val="1"/>
          </c:dLbls>
          <c:cat>
            <c:strRef>
              <c:f>'TRS Hebdo'!$E$41:$T$41</c:f>
              <c:strCache>
                <c:ptCount val="10"/>
                <c:pt idx="0">
                  <c:v>22 mai-28 mai</c:v>
                </c:pt>
                <c:pt idx="1">
                  <c:v>29 mai-04 juin</c:v>
                </c:pt>
                <c:pt idx="2">
                  <c:v>05 juin-11 juin</c:v>
                </c:pt>
                <c:pt idx="3">
                  <c:v>12 juin-18 juin</c:v>
                </c:pt>
                <c:pt idx="4">
                  <c:v>19 juin-25 juin</c:v>
                </c:pt>
                <c:pt idx="5">
                  <c:v>26 juin-02 juil</c:v>
                </c:pt>
                <c:pt idx="6">
                  <c:v>03 juil-09 juil</c:v>
                </c:pt>
                <c:pt idx="7">
                  <c:v>10 juil-16juil</c:v>
                </c:pt>
                <c:pt idx="8">
                  <c:v>17 juil-23 juil</c:v>
                </c:pt>
                <c:pt idx="9">
                  <c:v>24 juil-30 juil</c:v>
                </c:pt>
              </c:strCache>
            </c:strRef>
          </c:cat>
          <c:val>
            <c:numRef>
              <c:f>'TRS Hebdo'!$E$44:$T$44</c:f>
              <c:numCache>
                <c:formatCode>0%</c:formatCode>
                <c:ptCount val="16"/>
                <c:pt idx="0" formatCode="0.0%">
                  <c:v>2.9513888888888888E-2</c:v>
                </c:pt>
                <c:pt idx="1">
                  <c:v>1.282051282051282E-2</c:v>
                </c:pt>
                <c:pt idx="2" formatCode="0.00%">
                  <c:v>0</c:v>
                </c:pt>
                <c:pt idx="3">
                  <c:v>0</c:v>
                </c:pt>
                <c:pt idx="4">
                  <c:v>0</c:v>
                </c:pt>
                <c:pt idx="5" formatCode="0.0%">
                  <c:v>3.472222222222222E-3</c:v>
                </c:pt>
                <c:pt idx="6" formatCode="0.0%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'TRS Hebdo'!$D$45</c:f>
              <c:strCache>
                <c:ptCount val="1"/>
                <c:pt idx="0">
                  <c:v>Manque big-bag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</c:dLbls>
          <c:cat>
            <c:strRef>
              <c:f>'TRS Hebdo'!$E$41:$T$41</c:f>
              <c:strCache>
                <c:ptCount val="10"/>
                <c:pt idx="0">
                  <c:v>22 mai-28 mai</c:v>
                </c:pt>
                <c:pt idx="1">
                  <c:v>29 mai-04 juin</c:v>
                </c:pt>
                <c:pt idx="2">
                  <c:v>05 juin-11 juin</c:v>
                </c:pt>
                <c:pt idx="3">
                  <c:v>12 juin-18 juin</c:v>
                </c:pt>
                <c:pt idx="4">
                  <c:v>19 juin-25 juin</c:v>
                </c:pt>
                <c:pt idx="5">
                  <c:v>26 juin-02 juil</c:v>
                </c:pt>
                <c:pt idx="6">
                  <c:v>03 juil-09 juil</c:v>
                </c:pt>
                <c:pt idx="7">
                  <c:v>10 juil-16juil</c:v>
                </c:pt>
                <c:pt idx="8">
                  <c:v>17 juil-23 juil</c:v>
                </c:pt>
                <c:pt idx="9">
                  <c:v>24 juil-30 juil</c:v>
                </c:pt>
              </c:strCache>
            </c:strRef>
          </c:cat>
          <c:val>
            <c:numRef>
              <c:f>'TRS Hebdo'!$E$45:$T$45</c:f>
              <c:numCache>
                <c:formatCode>0%</c:formatCode>
                <c:ptCount val="16"/>
                <c:pt idx="0">
                  <c:v>5.5555555555555552E-2</c:v>
                </c:pt>
                <c:pt idx="1">
                  <c:v>5.128205128205128E-2</c:v>
                </c:pt>
                <c:pt idx="2">
                  <c:v>0.53298611111111116</c:v>
                </c:pt>
                <c:pt idx="3">
                  <c:v>1.7361111111111112E-2</c:v>
                </c:pt>
                <c:pt idx="4">
                  <c:v>0</c:v>
                </c:pt>
                <c:pt idx="5" formatCode="0.0%">
                  <c:v>0</c:v>
                </c:pt>
                <c:pt idx="6" formatCode="0.0%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'TRS Hebdo'!$D$46</c:f>
              <c:strCache>
                <c:ptCount val="1"/>
                <c:pt idx="0">
                  <c:v>Manque Matière</c:v>
                </c:pt>
              </c:strCache>
            </c:strRef>
          </c:tx>
          <c:spPr>
            <a:solidFill>
              <a:srgbClr val="B45608"/>
            </a:solidFill>
          </c:spPr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showVal val="1"/>
          </c:dLbls>
          <c:cat>
            <c:strRef>
              <c:f>'TRS Hebdo'!$E$41:$T$41</c:f>
              <c:strCache>
                <c:ptCount val="10"/>
                <c:pt idx="0">
                  <c:v>22 mai-28 mai</c:v>
                </c:pt>
                <c:pt idx="1">
                  <c:v>29 mai-04 juin</c:v>
                </c:pt>
                <c:pt idx="2">
                  <c:v>05 juin-11 juin</c:v>
                </c:pt>
                <c:pt idx="3">
                  <c:v>12 juin-18 juin</c:v>
                </c:pt>
                <c:pt idx="4">
                  <c:v>19 juin-25 juin</c:v>
                </c:pt>
                <c:pt idx="5">
                  <c:v>26 juin-02 juil</c:v>
                </c:pt>
                <c:pt idx="6">
                  <c:v>03 juil-09 juil</c:v>
                </c:pt>
                <c:pt idx="7">
                  <c:v>10 juil-16juil</c:v>
                </c:pt>
                <c:pt idx="8">
                  <c:v>17 juil-23 juil</c:v>
                </c:pt>
                <c:pt idx="9">
                  <c:v>24 juil-30 juil</c:v>
                </c:pt>
              </c:strCache>
            </c:strRef>
          </c:cat>
          <c:val>
            <c:numRef>
              <c:f>'TRS Hebdo'!$E$46:$T$46</c:f>
              <c:numCache>
                <c:formatCode>0%</c:formatCode>
                <c:ptCount val="16"/>
                <c:pt idx="0">
                  <c:v>5.2083333333333336E-2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%">
                  <c:v>0</c:v>
                </c:pt>
                <c:pt idx="6" formatCode="0.0%">
                  <c:v>0.27430555555555558</c:v>
                </c:pt>
                <c:pt idx="7">
                  <c:v>0.66319444444444442</c:v>
                </c:pt>
              </c:numCache>
            </c:numRef>
          </c:val>
        </c:ser>
        <c:ser>
          <c:idx val="5"/>
          <c:order val="5"/>
          <c:tx>
            <c:strRef>
              <c:f>'TRS Hebdo'!$D$47</c:f>
              <c:strCache>
                <c:ptCount val="1"/>
                <c:pt idx="0">
                  <c:v>Panne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dLbls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Val val="1"/>
          </c:dLbls>
          <c:cat>
            <c:strRef>
              <c:f>'TRS Hebdo'!$E$41:$T$41</c:f>
              <c:strCache>
                <c:ptCount val="10"/>
                <c:pt idx="0">
                  <c:v>22 mai-28 mai</c:v>
                </c:pt>
                <c:pt idx="1">
                  <c:v>29 mai-04 juin</c:v>
                </c:pt>
                <c:pt idx="2">
                  <c:v>05 juin-11 juin</c:v>
                </c:pt>
                <c:pt idx="3">
                  <c:v>12 juin-18 juin</c:v>
                </c:pt>
                <c:pt idx="4">
                  <c:v>19 juin-25 juin</c:v>
                </c:pt>
                <c:pt idx="5">
                  <c:v>26 juin-02 juil</c:v>
                </c:pt>
                <c:pt idx="6">
                  <c:v>03 juil-09 juil</c:v>
                </c:pt>
                <c:pt idx="7">
                  <c:v>10 juil-16juil</c:v>
                </c:pt>
                <c:pt idx="8">
                  <c:v>17 juil-23 juil</c:v>
                </c:pt>
                <c:pt idx="9">
                  <c:v>24 juil-30 juil</c:v>
                </c:pt>
              </c:strCache>
            </c:strRef>
          </c:cat>
          <c:val>
            <c:numRef>
              <c:f>'TRS Hebdo'!$E$47:$T$47</c:f>
              <c:numCache>
                <c:formatCode>0%</c:formatCode>
                <c:ptCount val="16"/>
                <c:pt idx="0">
                  <c:v>2.6041666666666668E-2</c:v>
                </c:pt>
                <c:pt idx="1">
                  <c:v>0.20512820512820512</c:v>
                </c:pt>
                <c:pt idx="2">
                  <c:v>1.736111111111111E-3</c:v>
                </c:pt>
                <c:pt idx="3">
                  <c:v>2.2569444444444444E-2</c:v>
                </c:pt>
                <c:pt idx="4">
                  <c:v>0</c:v>
                </c:pt>
                <c:pt idx="5" formatCode="0.0%">
                  <c:v>0</c:v>
                </c:pt>
                <c:pt idx="6" formatCode="0.0%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'TRS Hebdo'!$D$50</c:f>
              <c:strCache>
                <c:ptCount val="1"/>
                <c:pt idx="0">
                  <c:v>Technique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Lbls>
            <c:dLbl>
              <c:idx val="2"/>
              <c:delete val="1"/>
            </c:dLbl>
            <c:dLbl>
              <c:idx val="3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</c:dLbls>
          <c:cat>
            <c:strRef>
              <c:f>'TRS Hebdo'!$E$41:$T$41</c:f>
              <c:strCache>
                <c:ptCount val="10"/>
                <c:pt idx="0">
                  <c:v>22 mai-28 mai</c:v>
                </c:pt>
                <c:pt idx="1">
                  <c:v>29 mai-04 juin</c:v>
                </c:pt>
                <c:pt idx="2">
                  <c:v>05 juin-11 juin</c:v>
                </c:pt>
                <c:pt idx="3">
                  <c:v>12 juin-18 juin</c:v>
                </c:pt>
                <c:pt idx="4">
                  <c:v>19 juin-25 juin</c:v>
                </c:pt>
                <c:pt idx="5">
                  <c:v>26 juin-02 juil</c:v>
                </c:pt>
                <c:pt idx="6">
                  <c:v>03 juil-09 juil</c:v>
                </c:pt>
                <c:pt idx="7">
                  <c:v>10 juil-16juil</c:v>
                </c:pt>
                <c:pt idx="8">
                  <c:v>17 juil-23 juil</c:v>
                </c:pt>
                <c:pt idx="9">
                  <c:v>24 juil-30 juil</c:v>
                </c:pt>
              </c:strCache>
            </c:strRef>
          </c:cat>
          <c:val>
            <c:numRef>
              <c:f>'TRS Hebdo'!$E$50:$T$50</c:f>
              <c:numCache>
                <c:formatCode>0%</c:formatCode>
                <c:ptCount val="16"/>
                <c:pt idx="0">
                  <c:v>2.9513888888888888E-2</c:v>
                </c:pt>
                <c:pt idx="1">
                  <c:v>4.6474358974358976E-2</c:v>
                </c:pt>
                <c:pt idx="2" formatCode="0.0%">
                  <c:v>1.3888888888888888E-2</c:v>
                </c:pt>
                <c:pt idx="3">
                  <c:v>1.3888888888888888E-2</c:v>
                </c:pt>
                <c:pt idx="4">
                  <c:v>3.4722222222222224E-2</c:v>
                </c:pt>
                <c:pt idx="5" formatCode="0.0%">
                  <c:v>5.3819444444444448E-2</c:v>
                </c:pt>
                <c:pt idx="6" formatCode="0.0%">
                  <c:v>1.3888888888888888E-2</c:v>
                </c:pt>
                <c:pt idx="7">
                  <c:v>2.0833333333333332E-2</c:v>
                </c:pt>
              </c:numCache>
            </c:numRef>
          </c:val>
        </c:ser>
        <c:ser>
          <c:idx val="7"/>
          <c:order val="7"/>
          <c:tx>
            <c:strRef>
              <c:f>'TRS Hebdo'!$D$48</c:f>
              <c:strCache>
                <c:ptCount val="1"/>
                <c:pt idx="0">
                  <c:v>Surstock</c:v>
                </c:pt>
              </c:strCache>
            </c:strRef>
          </c:tx>
          <c:spPr>
            <a:solidFill>
              <a:srgbClr val="973822"/>
            </a:solidFill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7"/>
              <c:delete val="1"/>
            </c:dLbl>
            <c:showVal val="1"/>
          </c:dLbls>
          <c:val>
            <c:numRef>
              <c:f>'TRS Hebdo'!$E$48:$T$48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0.2170138888888889</c:v>
                </c:pt>
                <c:pt idx="4">
                  <c:v>0.11805555555555555</c:v>
                </c:pt>
                <c:pt idx="5" formatCode="0.0%">
                  <c:v>7.1180555555555552E-2</c:v>
                </c:pt>
                <c:pt idx="6" formatCode="0.0%">
                  <c:v>0.21354166666666666</c:v>
                </c:pt>
                <c:pt idx="7">
                  <c:v>0</c:v>
                </c:pt>
              </c:numCache>
            </c:numRef>
          </c:val>
        </c:ser>
        <c:ser>
          <c:idx val="8"/>
          <c:order val="8"/>
          <c:tx>
            <c:strRef>
              <c:f>'TRS Hebdo'!$D$49</c:f>
              <c:strCache>
                <c:ptCount val="1"/>
                <c:pt idx="0">
                  <c:v>Opérateur Absent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Val val="1"/>
          </c:dLbls>
          <c:val>
            <c:numRef>
              <c:f>'TRS Hebdo'!$E$49:$J$49</c:f>
              <c:numCache>
                <c:formatCode>0%</c:formatCode>
                <c:ptCount val="6"/>
                <c:pt idx="5" formatCode="0.0%">
                  <c:v>8.3333333333333329E-2</c:v>
                </c:pt>
              </c:numCache>
            </c:numRef>
          </c:val>
        </c:ser>
        <c:gapWidth val="75"/>
        <c:overlap val="100"/>
        <c:axId val="161595776"/>
        <c:axId val="161597312"/>
      </c:barChart>
      <c:catAx>
        <c:axId val="161595776"/>
        <c:scaling>
          <c:orientation val="minMax"/>
        </c:scaling>
        <c:axPos val="b"/>
        <c:majorTickMark val="none"/>
        <c:tickLblPos val="nextTo"/>
        <c:txPr>
          <a:bodyPr rot="-2700000" vert="horz"/>
          <a:lstStyle/>
          <a:p>
            <a:pPr>
              <a:defRPr/>
            </a:pPr>
            <a:endParaRPr lang="fr-FR"/>
          </a:p>
        </c:txPr>
        <c:crossAx val="161597312"/>
        <c:crosses val="autoZero"/>
        <c:auto val="1"/>
        <c:lblAlgn val="ctr"/>
        <c:lblOffset val="0"/>
      </c:catAx>
      <c:valAx>
        <c:axId val="161597312"/>
        <c:scaling>
          <c:orientation val="minMax"/>
        </c:scaling>
        <c:axPos val="l"/>
        <c:majorGridlines/>
        <c:numFmt formatCode="0%" sourceLinked="1"/>
        <c:majorTickMark val="none"/>
        <c:tickLblPos val="nextTo"/>
        <c:spPr>
          <a:ln w="9525" cmpd="sng">
            <a:solidFill>
              <a:srgbClr val="FFC000"/>
            </a:solidFill>
          </a:ln>
        </c:spPr>
        <c:crossAx val="161595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</c:legend>
    <c:plotVisOnly val="1"/>
  </c:chart>
  <c:printSettings>
    <c:headerFooter/>
    <c:pageMargins b="0.74803149606299313" l="0.70866141732283583" r="0.70866141732283583" t="0.74803149606299313" header="0.31496062992126073" footer="0.3149606299212607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1</xdr:row>
      <xdr:rowOff>76201</xdr:rowOff>
    </xdr:from>
    <xdr:to>
      <xdr:col>24</xdr:col>
      <xdr:colOff>371476</xdr:colOff>
      <xdr:row>38</xdr:row>
      <xdr:rowOff>137583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549289</xdr:colOff>
      <xdr:row>4</xdr:row>
      <xdr:rowOff>128058</xdr:rowOff>
    </xdr:from>
    <xdr:to>
      <xdr:col>4</xdr:col>
      <xdr:colOff>412751</xdr:colOff>
      <xdr:row>6</xdr:row>
      <xdr:rowOff>80433</xdr:rowOff>
    </xdr:to>
    <xdr:sp macro="" textlink="">
      <xdr:nvSpPr>
        <xdr:cNvPr id="3" name="Rectangle à coins arrondis 2"/>
        <xdr:cNvSpPr/>
      </xdr:nvSpPr>
      <xdr:spPr>
        <a:xfrm>
          <a:off x="2083872" y="890058"/>
          <a:ext cx="921796" cy="333375"/>
        </a:xfrm>
        <a:prstGeom prst="round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fr-FR" sz="1100"/>
            <a:t>Manque big-bag vide</a:t>
          </a:r>
        </a:p>
      </xdr:txBody>
    </xdr:sp>
    <xdr:clientData/>
  </xdr:twoCellAnchor>
  <xdr:twoCellAnchor>
    <xdr:from>
      <xdr:col>3</xdr:col>
      <xdr:colOff>920750</xdr:colOff>
      <xdr:row>6</xdr:row>
      <xdr:rowOff>84667</xdr:rowOff>
    </xdr:from>
    <xdr:to>
      <xdr:col>4</xdr:col>
      <xdr:colOff>485775</xdr:colOff>
      <xdr:row>11</xdr:row>
      <xdr:rowOff>9527</xdr:rowOff>
    </xdr:to>
    <xdr:cxnSp macro="">
      <xdr:nvCxnSpPr>
        <xdr:cNvPr id="5" name="Connecteur droit avec flèche 4"/>
        <xdr:cNvCxnSpPr/>
      </xdr:nvCxnSpPr>
      <xdr:spPr>
        <a:xfrm rot="16200000" flipH="1">
          <a:off x="2285999" y="1397001"/>
          <a:ext cx="877360" cy="53869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209549</xdr:colOff>
      <xdr:row>5</xdr:row>
      <xdr:rowOff>47625</xdr:rowOff>
    </xdr:from>
    <xdr:to>
      <xdr:col>3</xdr:col>
      <xdr:colOff>401108</xdr:colOff>
      <xdr:row>6</xdr:row>
      <xdr:rowOff>38100</xdr:rowOff>
    </xdr:to>
    <xdr:sp macro="" textlink="">
      <xdr:nvSpPr>
        <xdr:cNvPr id="7" name="Rectangle à coins arrondis 6"/>
        <xdr:cNvSpPr/>
      </xdr:nvSpPr>
      <xdr:spPr>
        <a:xfrm>
          <a:off x="1373716" y="1000125"/>
          <a:ext cx="561975" cy="180975"/>
        </a:xfrm>
        <a:prstGeom prst="round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fr-FR" sz="1100"/>
            <a:t>Panne</a:t>
          </a:r>
        </a:p>
      </xdr:txBody>
    </xdr:sp>
    <xdr:clientData/>
  </xdr:twoCellAnchor>
  <xdr:twoCellAnchor>
    <xdr:from>
      <xdr:col>3</xdr:col>
      <xdr:colOff>120120</xdr:colOff>
      <xdr:row>6</xdr:row>
      <xdr:rowOff>38100</xdr:rowOff>
    </xdr:from>
    <xdr:to>
      <xdr:col>3</xdr:col>
      <xdr:colOff>645583</xdr:colOff>
      <xdr:row>10</xdr:row>
      <xdr:rowOff>127000</xdr:rowOff>
    </xdr:to>
    <xdr:cxnSp macro="">
      <xdr:nvCxnSpPr>
        <xdr:cNvPr id="8" name="Connecteur droit avec flèche 7"/>
        <xdr:cNvCxnSpPr>
          <a:stCxn id="7" idx="2"/>
        </xdr:cNvCxnSpPr>
      </xdr:nvCxnSpPr>
      <xdr:spPr>
        <a:xfrm rot="16200000" flipH="1">
          <a:off x="1491985" y="1343818"/>
          <a:ext cx="850900" cy="525463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0.20525</cdr:x>
      <cdr:y>0.09937</cdr:y>
    </cdr:from>
    <cdr:to>
      <cdr:x>0.2579</cdr:x>
      <cdr:y>0.15154</cdr:y>
    </cdr:to>
    <cdr:sp macro="" textlink="">
      <cdr:nvSpPr>
        <cdr:cNvPr id="2" name="Rectangle à coins arrondis 1"/>
        <cdr:cNvSpPr/>
      </cdr:nvSpPr>
      <cdr:spPr>
        <a:xfrm xmlns:a="http://schemas.openxmlformats.org/drawingml/2006/main">
          <a:off x="2769378" y="634999"/>
          <a:ext cx="710421" cy="333375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Surstock</a:t>
          </a:r>
        </a:p>
      </cdr:txBody>
    </cdr:sp>
  </cdr:relSizeAnchor>
  <cdr:relSizeAnchor xmlns:cdr="http://schemas.openxmlformats.org/drawingml/2006/chartDrawing">
    <cdr:from>
      <cdr:x>0.21849</cdr:x>
      <cdr:y>0.15204</cdr:y>
    </cdr:from>
    <cdr:to>
      <cdr:x>0.24059</cdr:x>
      <cdr:y>0.2481</cdr:y>
    </cdr:to>
    <cdr:sp macro="" textlink="">
      <cdr:nvSpPr>
        <cdr:cNvPr id="15" name="Connecteur droit avec flèche 14"/>
        <cdr:cNvSpPr/>
      </cdr:nvSpPr>
      <cdr:spPr>
        <a:xfrm xmlns:a="http://schemas.openxmlformats.org/drawingml/2006/main" rot="16200000" flipH="1">
          <a:off x="2929465" y="971548"/>
          <a:ext cx="296335" cy="61383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0.26349</cdr:x>
      <cdr:y>0.07268</cdr:y>
    </cdr:from>
    <cdr:to>
      <cdr:x>0.31614</cdr:x>
      <cdr:y>0.12485</cdr:y>
    </cdr:to>
    <cdr:sp macro="" textlink="">
      <cdr:nvSpPr>
        <cdr:cNvPr id="4" name="Rectangle à coins arrondis 3"/>
        <cdr:cNvSpPr/>
      </cdr:nvSpPr>
      <cdr:spPr>
        <a:xfrm xmlns:a="http://schemas.openxmlformats.org/drawingml/2006/main">
          <a:off x="3964781" y="464344"/>
          <a:ext cx="792231" cy="333309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Arrêt</a:t>
          </a:r>
          <a:r>
            <a:rPr lang="fr-FR" sz="1100" baseline="0"/>
            <a:t> pour l'Aid</a:t>
          </a:r>
          <a:endParaRPr lang="fr-FR" sz="1100"/>
        </a:p>
      </cdr:txBody>
    </cdr:sp>
  </cdr:relSizeAnchor>
  <cdr:relSizeAnchor xmlns:cdr="http://schemas.openxmlformats.org/drawingml/2006/chartDrawing">
    <cdr:from>
      <cdr:x>0.26666</cdr:x>
      <cdr:y>0.12486</cdr:y>
    </cdr:from>
    <cdr:to>
      <cdr:x>0.29483</cdr:x>
      <cdr:y>0.35147</cdr:y>
    </cdr:to>
    <cdr:sp macro="" textlink="">
      <cdr:nvSpPr>
        <cdr:cNvPr id="5" name="Connecteur droit avec flèche 4"/>
        <cdr:cNvSpPr/>
      </cdr:nvSpPr>
      <cdr:spPr>
        <a:xfrm xmlns:a="http://schemas.openxmlformats.org/drawingml/2006/main" rot="16200000" flipH="1">
          <a:off x="3500437" y="1309689"/>
          <a:ext cx="1447799" cy="42386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0.27615</cdr:x>
      <cdr:y>0.13045</cdr:y>
    </cdr:from>
    <cdr:to>
      <cdr:x>0.32331</cdr:x>
      <cdr:y>0.16884</cdr:y>
    </cdr:to>
    <cdr:sp macro="" textlink="">
      <cdr:nvSpPr>
        <cdr:cNvPr id="6" name="Rectangle à coins arrondis 5"/>
        <cdr:cNvSpPr/>
      </cdr:nvSpPr>
      <cdr:spPr>
        <a:xfrm xmlns:a="http://schemas.openxmlformats.org/drawingml/2006/main">
          <a:off x="4155281" y="833438"/>
          <a:ext cx="709611" cy="245267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Réglage</a:t>
          </a:r>
        </a:p>
      </cdr:txBody>
    </cdr:sp>
  </cdr:relSizeAnchor>
  <cdr:relSizeAnchor xmlns:cdr="http://schemas.openxmlformats.org/drawingml/2006/chartDrawing">
    <cdr:from>
      <cdr:x>0.27979</cdr:x>
      <cdr:y>0.16884</cdr:y>
    </cdr:from>
    <cdr:to>
      <cdr:x>0.29562</cdr:x>
      <cdr:y>0.30488</cdr:y>
    </cdr:to>
    <cdr:sp macro="" textlink="">
      <cdr:nvSpPr>
        <cdr:cNvPr id="7" name="Connecteur droit avec flèche 6"/>
        <cdr:cNvSpPr/>
      </cdr:nvSpPr>
      <cdr:spPr>
        <a:xfrm xmlns:a="http://schemas.openxmlformats.org/drawingml/2006/main" rot="16200000" flipH="1">
          <a:off x="3894531" y="1394223"/>
          <a:ext cx="869161" cy="238125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0.28881</cdr:x>
      <cdr:y>0.17518</cdr:y>
    </cdr:from>
    <cdr:to>
      <cdr:x>0.33597</cdr:x>
      <cdr:y>0.21357</cdr:y>
    </cdr:to>
    <cdr:sp macro="" textlink="">
      <cdr:nvSpPr>
        <cdr:cNvPr id="8" name="Rectangle à coins arrondis 7"/>
        <cdr:cNvSpPr/>
      </cdr:nvSpPr>
      <cdr:spPr>
        <a:xfrm xmlns:a="http://schemas.openxmlformats.org/drawingml/2006/main">
          <a:off x="4345781" y="1119188"/>
          <a:ext cx="709611" cy="245267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Surstock</a:t>
          </a:r>
        </a:p>
      </cdr:txBody>
    </cdr:sp>
  </cdr:relSizeAnchor>
  <cdr:relSizeAnchor xmlns:cdr="http://schemas.openxmlformats.org/drawingml/2006/chartDrawing">
    <cdr:from>
      <cdr:x>0.29198</cdr:x>
      <cdr:y>0.21431</cdr:y>
    </cdr:from>
    <cdr:to>
      <cdr:x>0.29799</cdr:x>
      <cdr:y>0.25457</cdr:y>
    </cdr:to>
    <cdr:sp macro="" textlink="">
      <cdr:nvSpPr>
        <cdr:cNvPr id="9" name="Connecteur droit avec flèche 8"/>
        <cdr:cNvSpPr/>
      </cdr:nvSpPr>
      <cdr:spPr>
        <a:xfrm xmlns:a="http://schemas.openxmlformats.org/drawingml/2006/main" rot="16200000" flipH="1">
          <a:off x="4310062" y="1452563"/>
          <a:ext cx="257175" cy="90486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0.32996</cdr:x>
      <cdr:y>0.06895</cdr:y>
    </cdr:from>
    <cdr:to>
      <cdr:x>0.38261</cdr:x>
      <cdr:y>0.12112</cdr:y>
    </cdr:to>
    <cdr:sp macro="" textlink="">
      <cdr:nvSpPr>
        <cdr:cNvPr id="10" name="Rectangle à coins arrondis 9"/>
        <cdr:cNvSpPr/>
      </cdr:nvSpPr>
      <cdr:spPr>
        <a:xfrm xmlns:a="http://schemas.openxmlformats.org/drawingml/2006/main">
          <a:off x="4964906" y="440531"/>
          <a:ext cx="792231" cy="333308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Arrêt</a:t>
          </a:r>
          <a:r>
            <a:rPr lang="fr-FR" sz="1100" baseline="0"/>
            <a:t> pour l'Aid</a:t>
          </a:r>
          <a:endParaRPr lang="fr-FR" sz="1100"/>
        </a:p>
      </cdr:txBody>
    </cdr:sp>
  </cdr:relSizeAnchor>
  <cdr:relSizeAnchor xmlns:cdr="http://schemas.openxmlformats.org/drawingml/2006/chartDrawing">
    <cdr:from>
      <cdr:x>0.33312</cdr:x>
      <cdr:y>0.11927</cdr:y>
    </cdr:from>
    <cdr:to>
      <cdr:x>0.35417</cdr:x>
      <cdr:y>0.43906</cdr:y>
    </cdr:to>
    <cdr:sp macro="" textlink="">
      <cdr:nvSpPr>
        <cdr:cNvPr id="11" name="Connecteur droit avec flèche 10"/>
        <cdr:cNvSpPr/>
      </cdr:nvSpPr>
      <cdr:spPr>
        <a:xfrm xmlns:a="http://schemas.openxmlformats.org/drawingml/2006/main" rot="16200000" flipH="1">
          <a:off x="4149327" y="1625206"/>
          <a:ext cx="2043114" cy="316704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0.38296</cdr:x>
      <cdr:y>0.07179</cdr:y>
    </cdr:from>
    <cdr:to>
      <cdr:x>0.43289</cdr:x>
      <cdr:y>0.13651</cdr:y>
    </cdr:to>
    <cdr:sp macro="" textlink="">
      <cdr:nvSpPr>
        <cdr:cNvPr id="12" name="Rectangle à coins arrondis 11"/>
        <cdr:cNvSpPr/>
      </cdr:nvSpPr>
      <cdr:spPr>
        <a:xfrm xmlns:a="http://schemas.openxmlformats.org/drawingml/2006/main">
          <a:off x="5746749" y="516467"/>
          <a:ext cx="749300" cy="465665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Manque Résine</a:t>
          </a:r>
        </a:p>
      </cdr:txBody>
    </cdr:sp>
  </cdr:relSizeAnchor>
  <cdr:relSizeAnchor xmlns:cdr="http://schemas.openxmlformats.org/drawingml/2006/chartDrawing">
    <cdr:from>
      <cdr:x>0.39139</cdr:x>
      <cdr:y>0.14221</cdr:y>
    </cdr:from>
    <cdr:to>
      <cdr:x>0.44418</cdr:x>
      <cdr:y>0.2084</cdr:y>
    </cdr:to>
    <cdr:sp macro="" textlink="">
      <cdr:nvSpPr>
        <cdr:cNvPr id="13" name="Rectangle à coins arrondis 12"/>
        <cdr:cNvSpPr/>
      </cdr:nvSpPr>
      <cdr:spPr>
        <a:xfrm xmlns:a="http://schemas.openxmlformats.org/drawingml/2006/main">
          <a:off x="5889292" y="1022983"/>
          <a:ext cx="794337" cy="476120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Manque d'espace</a:t>
          </a:r>
        </a:p>
        <a:p xmlns:a="http://schemas.openxmlformats.org/drawingml/2006/main">
          <a:pPr algn="ctr"/>
          <a:endParaRPr lang="fr-FR" sz="1100"/>
        </a:p>
      </cdr:txBody>
    </cdr:sp>
  </cdr:relSizeAnchor>
  <cdr:relSizeAnchor xmlns:cdr="http://schemas.openxmlformats.org/drawingml/2006/chartDrawing">
    <cdr:from>
      <cdr:x>0.38917</cdr:x>
      <cdr:y>0.12033</cdr:y>
    </cdr:from>
    <cdr:to>
      <cdr:x>0.41177</cdr:x>
      <cdr:y>0.47278</cdr:y>
    </cdr:to>
    <cdr:sp macro="" textlink="">
      <cdr:nvSpPr>
        <cdr:cNvPr id="14" name="Connecteur droit avec flèche 13"/>
        <cdr:cNvSpPr/>
      </cdr:nvSpPr>
      <cdr:spPr>
        <a:xfrm xmlns:a="http://schemas.openxmlformats.org/drawingml/2006/main" rot="16200000" flipH="1">
          <a:off x="4741617" y="1963987"/>
          <a:ext cx="2535695" cy="33916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0.4075</cdr:x>
      <cdr:y>0.20124</cdr:y>
    </cdr:from>
    <cdr:to>
      <cdr:x>0.41456</cdr:x>
      <cdr:y>0.33804</cdr:y>
    </cdr:to>
    <cdr:sp macro="" textlink="">
      <cdr:nvSpPr>
        <cdr:cNvPr id="16" name="Connecteur droit avec flèche 15"/>
        <cdr:cNvSpPr/>
      </cdr:nvSpPr>
      <cdr:spPr>
        <a:xfrm xmlns:a="http://schemas.openxmlformats.org/drawingml/2006/main" rot="16200000" flipH="1">
          <a:off x="5675840" y="1887009"/>
          <a:ext cx="984253" cy="105832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0.44706</cdr:x>
      <cdr:y>0.08442</cdr:y>
    </cdr:from>
    <cdr:to>
      <cdr:x>0.49699</cdr:x>
      <cdr:y>0.14914</cdr:y>
    </cdr:to>
    <cdr:sp macro="" textlink="">
      <cdr:nvSpPr>
        <cdr:cNvPr id="17" name="Rectangle à coins arrondis 16"/>
        <cdr:cNvSpPr/>
      </cdr:nvSpPr>
      <cdr:spPr>
        <a:xfrm xmlns:a="http://schemas.openxmlformats.org/drawingml/2006/main">
          <a:off x="6727031" y="607219"/>
          <a:ext cx="751303" cy="465545"/>
        </a:xfrm>
        <a:prstGeom xmlns:a="http://schemas.openxmlformats.org/drawingml/2006/main" prst="round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Manque Résine</a:t>
          </a:r>
        </a:p>
      </cdr:txBody>
    </cdr:sp>
  </cdr:relSizeAnchor>
  <cdr:relSizeAnchor xmlns:cdr="http://schemas.openxmlformats.org/drawingml/2006/chartDrawing">
    <cdr:from>
      <cdr:x>0.45181</cdr:x>
      <cdr:y>0.15062</cdr:y>
    </cdr:from>
    <cdr:to>
      <cdr:x>0.47441</cdr:x>
      <cdr:y>0.50307</cdr:y>
    </cdr:to>
    <cdr:sp macro="" textlink="">
      <cdr:nvSpPr>
        <cdr:cNvPr id="18" name="Connecteur droit avec flèche 17"/>
        <cdr:cNvSpPr/>
      </cdr:nvSpPr>
      <cdr:spPr>
        <a:xfrm xmlns:a="http://schemas.openxmlformats.org/drawingml/2006/main" rot="16200000" flipH="1">
          <a:off x="5700877" y="2181062"/>
          <a:ext cx="2535252" cy="340065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7:T53"/>
  <sheetViews>
    <sheetView showGridLines="0" view="pageBreakPreview" zoomScale="80" zoomScaleNormal="80" zoomScaleSheetLayoutView="80" workbookViewId="0">
      <selection activeCell="AB13" sqref="AB13"/>
    </sheetView>
  </sheetViews>
  <sheetFormatPr baseColWidth="10" defaultRowHeight="15"/>
  <cols>
    <col min="1" max="1" width="6" customWidth="1"/>
    <col min="3" max="3" width="5.5703125" customWidth="1"/>
    <col min="4" max="4" width="15.85546875" customWidth="1"/>
    <col min="5" max="8" width="8.85546875" style="5" customWidth="1"/>
    <col min="9" max="9" width="8.7109375" style="5" customWidth="1"/>
    <col min="10" max="16" width="8.85546875" style="5" customWidth="1"/>
    <col min="17" max="20" width="8.85546875" customWidth="1"/>
  </cols>
  <sheetData>
    <row r="17" ht="21.75" customHeight="1"/>
    <row r="41" spans="3:20" s="3" customFormat="1" ht="33" customHeight="1">
      <c r="E41" s="278" t="s">
        <v>84</v>
      </c>
      <c r="F41" s="278" t="s">
        <v>85</v>
      </c>
      <c r="G41" s="278" t="s">
        <v>86</v>
      </c>
      <c r="H41" s="278" t="s">
        <v>87</v>
      </c>
      <c r="I41" s="278" t="s">
        <v>94</v>
      </c>
      <c r="J41" s="278" t="s">
        <v>96</v>
      </c>
      <c r="K41" s="278" t="s">
        <v>95</v>
      </c>
      <c r="L41" s="278" t="s">
        <v>97</v>
      </c>
      <c r="M41" s="278" t="s">
        <v>98</v>
      </c>
      <c r="N41" s="278" t="s">
        <v>99</v>
      </c>
      <c r="O41" s="278"/>
      <c r="P41" s="278"/>
      <c r="Q41" s="278"/>
      <c r="R41" s="278"/>
      <c r="S41" s="278"/>
      <c r="T41" s="278"/>
    </row>
    <row r="42" spans="3:20" ht="19.5" customHeight="1">
      <c r="D42" s="354" t="s">
        <v>59</v>
      </c>
      <c r="E42" s="166">
        <f>'22 mai - 28 mai '!S40</f>
        <v>0.80729166666666674</v>
      </c>
      <c r="F42" s="166">
        <f>'29 mai - 04 juin '!S41</f>
        <v>0.68429487179487181</v>
      </c>
      <c r="G42" s="166">
        <f>'05 Juin - 11 Juin '!S41</f>
        <v>0.4513888888888889</v>
      </c>
      <c r="H42" s="283">
        <f>'12 Juin - 18 Juin '!S41</f>
        <v>0.72916666666666663</v>
      </c>
      <c r="I42" s="283">
        <f>'19 Juin - 25 Juin'!S41</f>
        <v>0.76388888888888884</v>
      </c>
      <c r="J42" s="247">
        <f>'26 Juin - 02 Juil  '!S41</f>
        <v>0.4548611111111111</v>
      </c>
      <c r="K42" s="166">
        <f>'03 Juil - 09 Juil'!S41</f>
        <v>0.4982638888888889</v>
      </c>
      <c r="L42" s="283">
        <f>'10 Juil - 16 Juil '!S41</f>
        <v>0.31597222222222221</v>
      </c>
      <c r="M42" s="165"/>
      <c r="N42" s="165"/>
      <c r="O42" s="165"/>
      <c r="P42" s="165"/>
      <c r="Q42" s="165"/>
      <c r="R42" s="165"/>
      <c r="S42" s="165"/>
      <c r="T42" s="165"/>
    </row>
    <row r="43" spans="3:20" ht="19.5" customHeight="1">
      <c r="C43" s="447" t="s">
        <v>33</v>
      </c>
      <c r="D43" s="355" t="s">
        <v>40</v>
      </c>
      <c r="E43" s="246">
        <f>'22 mai - 28 mai '!W41</f>
        <v>0</v>
      </c>
      <c r="F43" s="187">
        <f>'29 mai - 04 juin '!W42</f>
        <v>0</v>
      </c>
      <c r="G43" s="265">
        <f>'05 Juin - 11 Juin '!W42</f>
        <v>0</v>
      </c>
      <c r="H43" s="283">
        <f>'12 Juin - 18 Juin '!W42</f>
        <v>0</v>
      </c>
      <c r="I43" s="283">
        <f>'19 Juin - 25 Juin'!W42</f>
        <v>8.3333333333333329E-2</v>
      </c>
      <c r="J43" s="246">
        <f>'26 Juin - 02 Juil  '!W42</f>
        <v>0.33333333333333331</v>
      </c>
      <c r="K43" s="246">
        <f>'03 Juil - 09 Juil'!W42</f>
        <v>0</v>
      </c>
      <c r="L43" s="283">
        <f>'10 Juil - 16 Juil '!W42</f>
        <v>0</v>
      </c>
      <c r="M43" s="165"/>
      <c r="N43" s="165"/>
      <c r="O43" s="165"/>
      <c r="P43" s="165"/>
      <c r="Q43" s="165"/>
      <c r="R43" s="165"/>
      <c r="S43" s="165"/>
      <c r="T43" s="165"/>
    </row>
    <row r="44" spans="3:20" ht="19.5" customHeight="1">
      <c r="C44" s="447"/>
      <c r="D44" s="356" t="s">
        <v>39</v>
      </c>
      <c r="E44" s="247">
        <f>'22 mai - 28 mai '!X41</f>
        <v>2.9513888888888888E-2</v>
      </c>
      <c r="F44" s="187">
        <f>'29 mai - 04 juin '!X42</f>
        <v>1.282051282051282E-2</v>
      </c>
      <c r="G44" s="265">
        <f>'05 Juin - 11 Juin '!X42</f>
        <v>0</v>
      </c>
      <c r="H44" s="283">
        <f>'12 Juin - 18 Juin '!X42</f>
        <v>0</v>
      </c>
      <c r="I44" s="283">
        <f>'19 Juin - 25 Juin'!X42</f>
        <v>0</v>
      </c>
      <c r="J44" s="246">
        <f>'26 Juin - 02 Juil  '!X42</f>
        <v>3.472222222222222E-3</v>
      </c>
      <c r="K44" s="246">
        <f>'03 Juil - 09 Juil'!X42</f>
        <v>0</v>
      </c>
      <c r="L44" s="283">
        <f>'10 Juil - 16 Juil '!X42</f>
        <v>0</v>
      </c>
      <c r="M44" s="165"/>
      <c r="N44" s="165"/>
      <c r="O44" s="165"/>
      <c r="P44" s="165"/>
      <c r="Q44" s="165"/>
      <c r="R44" s="165"/>
      <c r="S44" s="165"/>
      <c r="T44" s="165"/>
    </row>
    <row r="45" spans="3:20" ht="19.5" customHeight="1">
      <c r="C45" s="447"/>
      <c r="D45" s="357" t="s">
        <v>75</v>
      </c>
      <c r="E45" s="187">
        <f>'22 mai - 28 mai '!Y41</f>
        <v>5.5555555555555552E-2</v>
      </c>
      <c r="F45" s="187">
        <f>'29 mai - 04 juin '!Y42</f>
        <v>5.128205128205128E-2</v>
      </c>
      <c r="G45" s="301">
        <f>'05 Juin - 11 Juin '!Y42</f>
        <v>0.53298611111111116</v>
      </c>
      <c r="H45" s="187">
        <f>'12 Juin - 18 Juin '!Y42</f>
        <v>1.7361111111111112E-2</v>
      </c>
      <c r="I45" s="283">
        <f>'19 Juin - 25 Juin'!Y42</f>
        <v>0</v>
      </c>
      <c r="J45" s="246">
        <f>'26 Juin - 02 Juil  '!Y42</f>
        <v>0</v>
      </c>
      <c r="K45" s="246">
        <f>'03 Juil - 09 Juil'!Y42</f>
        <v>0</v>
      </c>
      <c r="L45" s="283">
        <f>'10 Juil - 16 Juil '!Y42</f>
        <v>0</v>
      </c>
      <c r="M45" s="165"/>
      <c r="N45" s="165"/>
      <c r="O45" s="165"/>
      <c r="P45" s="165"/>
      <c r="Q45" s="165"/>
      <c r="R45" s="165"/>
      <c r="S45" s="165"/>
      <c r="T45" s="165"/>
    </row>
    <row r="46" spans="3:20" ht="19.5" customHeight="1">
      <c r="C46" s="447"/>
      <c r="D46" s="358" t="s">
        <v>76</v>
      </c>
      <c r="E46" s="187">
        <f>'22 mai - 28 mai '!Z41</f>
        <v>5.2083333333333336E-2</v>
      </c>
      <c r="F46" s="187">
        <f>'29 mai - 04 juin '!Z42</f>
        <v>0</v>
      </c>
      <c r="G46" s="187">
        <f>'05 Juin - 11 Juin '!Z42</f>
        <v>0</v>
      </c>
      <c r="H46" s="187">
        <f>'12 Juin - 18 Juin '!Z42</f>
        <v>0</v>
      </c>
      <c r="I46" s="283">
        <f>'19 Juin - 25 Juin'!Z42</f>
        <v>0</v>
      </c>
      <c r="J46" s="246">
        <f>'26 Juin - 02 Juil  '!Z42</f>
        <v>0</v>
      </c>
      <c r="K46" s="246">
        <f>'03 Juil - 09 Juil'!Z42</f>
        <v>0.27430555555555558</v>
      </c>
      <c r="L46" s="283">
        <f>'10 Juil - 16 Juil '!Z42</f>
        <v>0.66319444444444442</v>
      </c>
      <c r="M46" s="165"/>
      <c r="N46" s="165"/>
      <c r="O46" s="165"/>
      <c r="P46" s="165"/>
      <c r="Q46" s="165"/>
      <c r="R46" s="165"/>
      <c r="S46" s="165"/>
      <c r="T46" s="165"/>
    </row>
    <row r="47" spans="3:20" ht="19.5" customHeight="1">
      <c r="C47" s="447"/>
      <c r="D47" s="359" t="s">
        <v>77</v>
      </c>
      <c r="E47" s="187">
        <f>'22 mai - 28 mai '!AA41</f>
        <v>2.6041666666666668E-2</v>
      </c>
      <c r="F47" s="301">
        <f>'29 mai - 04 juin '!AA42</f>
        <v>0.20512820512820512</v>
      </c>
      <c r="G47" s="187">
        <f>'05 Juin - 11 Juin '!AA42</f>
        <v>1.736111111111111E-3</v>
      </c>
      <c r="H47" s="187">
        <f>'12 Juin - 18 Juin '!AA42</f>
        <v>2.2569444444444444E-2</v>
      </c>
      <c r="I47" s="283">
        <f>'19 Juin - 25 Juin'!AA42</f>
        <v>0</v>
      </c>
      <c r="J47" s="246">
        <f>'26 Juin - 02 Juil  '!AA42</f>
        <v>0</v>
      </c>
      <c r="K47" s="246">
        <f>'03 Juil - 09 Juil'!AA42</f>
        <v>0</v>
      </c>
      <c r="L47" s="283">
        <f>'10 Juil - 16 Juil '!AA42</f>
        <v>0</v>
      </c>
      <c r="M47" s="165"/>
      <c r="N47" s="165"/>
      <c r="O47" s="165"/>
      <c r="P47" s="165"/>
      <c r="Q47" s="165"/>
      <c r="R47" s="165"/>
      <c r="S47" s="165"/>
      <c r="T47" s="165"/>
    </row>
    <row r="48" spans="3:20" ht="19.5" customHeight="1">
      <c r="C48" s="447"/>
      <c r="D48" s="360" t="s">
        <v>88</v>
      </c>
      <c r="E48" s="187">
        <v>0</v>
      </c>
      <c r="F48" s="187">
        <v>0</v>
      </c>
      <c r="G48" s="187">
        <v>0</v>
      </c>
      <c r="H48" s="301">
        <f>'12 Juin - 18 Juin '!AB42</f>
        <v>0.2170138888888889</v>
      </c>
      <c r="I48" s="283">
        <f>'19 Juin - 25 Juin'!AB42</f>
        <v>0.11805555555555555</v>
      </c>
      <c r="J48" s="246">
        <f>'26 Juin - 02 Juil  '!AB42</f>
        <v>7.1180555555555552E-2</v>
      </c>
      <c r="K48" s="246">
        <f>'03 Juil - 09 Juil'!AB42</f>
        <v>0.21354166666666666</v>
      </c>
      <c r="L48" s="283">
        <f>'10 Juil - 16 Juil '!AB42</f>
        <v>0</v>
      </c>
      <c r="M48" s="165"/>
      <c r="N48" s="165"/>
      <c r="O48" s="165"/>
      <c r="P48" s="165"/>
      <c r="Q48" s="165"/>
      <c r="R48" s="165"/>
      <c r="S48" s="165"/>
      <c r="T48" s="165"/>
    </row>
    <row r="49" spans="2:20" ht="19.5" customHeight="1">
      <c r="C49" s="447"/>
      <c r="D49" s="361" t="str">
        <f>'26 Juin - 02 Juil  '!AC9</f>
        <v>Opérateur Absent</v>
      </c>
      <c r="E49" s="187"/>
      <c r="F49" s="187"/>
      <c r="G49" s="187"/>
      <c r="H49" s="301"/>
      <c r="I49" s="283"/>
      <c r="J49" s="246">
        <f>'26 Juin - 02 Juil  '!AC42</f>
        <v>8.3333333333333329E-2</v>
      </c>
      <c r="K49" s="246">
        <f>'03 Juil - 09 Juil'!AC42</f>
        <v>0</v>
      </c>
      <c r="L49" s="283">
        <f>'10 Juil - 16 Juil '!AC42</f>
        <v>0</v>
      </c>
      <c r="M49" s="165"/>
      <c r="N49" s="165"/>
      <c r="O49" s="165"/>
      <c r="P49" s="165"/>
      <c r="Q49" s="165"/>
      <c r="R49" s="165"/>
      <c r="S49" s="165"/>
      <c r="T49" s="165"/>
    </row>
    <row r="50" spans="2:20" ht="19.5" customHeight="1">
      <c r="C50" s="447"/>
      <c r="D50" s="362" t="s">
        <v>41</v>
      </c>
      <c r="E50" s="166">
        <f>'22 mai - 28 mai '!V41</f>
        <v>2.9513888888888888E-2</v>
      </c>
      <c r="F50" s="187">
        <f>'29 mai - 04 juin '!V42</f>
        <v>4.6474358974358976E-2</v>
      </c>
      <c r="G50" s="246">
        <f>'05 Juin - 11 Juin '!V42</f>
        <v>1.3888888888888888E-2</v>
      </c>
      <c r="H50" s="283">
        <f>'12 Juin - 18 Juin '!V42</f>
        <v>1.3888888888888888E-2</v>
      </c>
      <c r="I50" s="283">
        <f>'19 Juin - 25 Juin'!V42</f>
        <v>3.4722222222222224E-2</v>
      </c>
      <c r="J50" s="246">
        <f>'26 Juin - 02 Juil  '!V42</f>
        <v>5.3819444444444448E-2</v>
      </c>
      <c r="K50" s="246">
        <f>'03 Juil - 09 Juil'!V42</f>
        <v>1.3888888888888888E-2</v>
      </c>
      <c r="L50" s="283">
        <f>'10 Juil - 16 Juil '!V42</f>
        <v>2.0833333333333332E-2</v>
      </c>
      <c r="M50" s="165"/>
      <c r="N50" s="165"/>
      <c r="O50" s="165"/>
      <c r="P50" s="165"/>
      <c r="Q50" s="165"/>
      <c r="R50" s="165"/>
      <c r="S50" s="165"/>
      <c r="T50" s="165"/>
    </row>
    <row r="51" spans="2:20" ht="20.25" customHeight="1">
      <c r="D51" s="303" t="s">
        <v>90</v>
      </c>
      <c r="E51" s="302">
        <f>'22 mai - 28 mai '!E39:H39</f>
        <v>50160</v>
      </c>
      <c r="F51" s="302">
        <f>'29 mai - 04 juin '!E40</f>
        <v>47640</v>
      </c>
      <c r="G51" s="302">
        <f>'05 Juin - 11 Juin '!E40</f>
        <v>27960</v>
      </c>
      <c r="H51" s="302">
        <f>'12 Juin - 18 Juin '!E40</f>
        <v>45960</v>
      </c>
      <c r="I51" s="302">
        <f>'19 Juin - 25 Juin'!E40</f>
        <v>47740</v>
      </c>
      <c r="J51" s="302">
        <f>'26 Juin - 02 Juil  '!E40</f>
        <v>28800</v>
      </c>
      <c r="K51" s="302">
        <f>'03 Juil - 09 Juil'!E40</f>
        <v>31440</v>
      </c>
      <c r="L51" s="302">
        <f>'10 Juil - 16 Juil '!E40</f>
        <v>20040</v>
      </c>
      <c r="M51" s="302"/>
      <c r="N51" s="302"/>
      <c r="O51" s="302"/>
      <c r="P51" s="302"/>
      <c r="Q51" s="302"/>
      <c r="R51" s="302"/>
      <c r="S51" s="302"/>
      <c r="T51" s="302"/>
    </row>
    <row r="53" spans="2:20" ht="15.75">
      <c r="B53" s="169" t="s">
        <v>60</v>
      </c>
      <c r="C53" s="167"/>
      <c r="D53" s="167"/>
      <c r="E53" s="168"/>
      <c r="F53" s="168"/>
    </row>
  </sheetData>
  <mergeCells count="1">
    <mergeCell ref="C43:C50"/>
  </mergeCells>
  <pageMargins left="0.35433070866141736" right="0.27559055118110237" top="0.31" bottom="0.34" header="0.18" footer="0.22"/>
  <pageSetup paperSize="9" scale="5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F26"/>
  <sheetViews>
    <sheetView showGridLines="0" view="pageBreakPreview" zoomScaleSheetLayoutView="100" workbookViewId="0">
      <selection activeCell="C1" sqref="C1:X1"/>
    </sheetView>
  </sheetViews>
  <sheetFormatPr baseColWidth="10" defaultRowHeight="15"/>
  <cols>
    <col min="1" max="1" width="2.85546875" customWidth="1"/>
    <col min="2" max="2" width="28" customWidth="1"/>
    <col min="3" max="3" width="10.140625" customWidth="1"/>
    <col min="4" max="31" width="3.85546875" customWidth="1"/>
    <col min="32" max="32" width="5.42578125" customWidth="1"/>
  </cols>
  <sheetData>
    <row r="1" spans="2:32" ht="39" customHeight="1">
      <c r="C1" s="671" t="s">
        <v>138</v>
      </c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</row>
    <row r="2" spans="2:32" ht="63" customHeight="1">
      <c r="D2" s="433">
        <v>42920</v>
      </c>
      <c r="E2" s="433">
        <v>42921</v>
      </c>
      <c r="F2" s="433">
        <v>42922</v>
      </c>
      <c r="G2" s="433">
        <v>42923</v>
      </c>
      <c r="H2" s="433">
        <v>42924</v>
      </c>
      <c r="I2" s="433">
        <v>42925</v>
      </c>
      <c r="J2" s="433">
        <v>42926</v>
      </c>
      <c r="K2" s="433">
        <v>42927</v>
      </c>
      <c r="L2" s="433">
        <v>42928</v>
      </c>
      <c r="M2" s="433">
        <v>42929</v>
      </c>
      <c r="N2" s="433">
        <v>42930</v>
      </c>
      <c r="O2" s="433">
        <v>42931</v>
      </c>
      <c r="P2" s="433">
        <v>42932</v>
      </c>
      <c r="Q2" s="433">
        <v>42933</v>
      </c>
      <c r="R2" s="433">
        <v>42934</v>
      </c>
      <c r="S2" s="433">
        <v>42935</v>
      </c>
      <c r="T2" s="433">
        <v>42936</v>
      </c>
      <c r="U2" s="433">
        <v>42937</v>
      </c>
      <c r="V2" s="433">
        <v>42938</v>
      </c>
      <c r="W2" s="433">
        <v>42939</v>
      </c>
      <c r="X2" s="433">
        <v>42940</v>
      </c>
      <c r="Y2" s="433">
        <v>42941</v>
      </c>
      <c r="Z2" s="433">
        <v>42942</v>
      </c>
      <c r="AA2" s="433">
        <v>42943</v>
      </c>
      <c r="AB2" s="433">
        <v>42944</v>
      </c>
      <c r="AC2" s="433">
        <v>42945</v>
      </c>
      <c r="AD2" s="433">
        <v>42946</v>
      </c>
      <c r="AE2" s="433">
        <v>42947</v>
      </c>
      <c r="AF2" s="426"/>
    </row>
    <row r="3" spans="2:32" ht="15.75">
      <c r="C3" s="432" t="s">
        <v>137</v>
      </c>
      <c r="D3" s="672" t="s">
        <v>136</v>
      </c>
      <c r="E3" s="672"/>
      <c r="F3" s="672"/>
      <c r="G3" s="672"/>
      <c r="H3" s="672"/>
      <c r="I3" s="672"/>
      <c r="J3" s="672"/>
      <c r="K3" s="672" t="s">
        <v>135</v>
      </c>
      <c r="L3" s="672"/>
      <c r="M3" s="672"/>
      <c r="N3" s="672"/>
      <c r="O3" s="672"/>
      <c r="P3" s="672"/>
      <c r="Q3" s="672"/>
      <c r="R3" s="672" t="s">
        <v>134</v>
      </c>
      <c r="S3" s="672"/>
      <c r="T3" s="672"/>
      <c r="U3" s="672"/>
      <c r="V3" s="672"/>
      <c r="W3" s="672"/>
      <c r="X3" s="672"/>
      <c r="Y3" s="672" t="s">
        <v>133</v>
      </c>
      <c r="Z3" s="672"/>
      <c r="AA3" s="672"/>
      <c r="AB3" s="672"/>
      <c r="AC3" s="672"/>
      <c r="AD3" s="672"/>
      <c r="AE3" s="672"/>
      <c r="AF3" s="426"/>
    </row>
    <row r="4" spans="2:32" ht="15.75">
      <c r="B4" s="669" t="s">
        <v>132</v>
      </c>
      <c r="C4" s="670"/>
      <c r="D4" s="165" t="s">
        <v>131</v>
      </c>
      <c r="E4" s="165" t="s">
        <v>130</v>
      </c>
      <c r="F4" s="165" t="s">
        <v>130</v>
      </c>
      <c r="G4" s="165" t="s">
        <v>129</v>
      </c>
      <c r="H4" s="165" t="s">
        <v>128</v>
      </c>
      <c r="I4" s="165" t="s">
        <v>127</v>
      </c>
      <c r="J4" s="165" t="s">
        <v>126</v>
      </c>
      <c r="K4" s="165" t="s">
        <v>131</v>
      </c>
      <c r="L4" s="165" t="s">
        <v>130</v>
      </c>
      <c r="M4" s="165" t="s">
        <v>130</v>
      </c>
      <c r="N4" s="165" t="s">
        <v>129</v>
      </c>
      <c r="O4" s="165" t="s">
        <v>128</v>
      </c>
      <c r="P4" s="165" t="s">
        <v>127</v>
      </c>
      <c r="Q4" s="165" t="s">
        <v>126</v>
      </c>
      <c r="R4" s="165" t="s">
        <v>131</v>
      </c>
      <c r="S4" s="165" t="s">
        <v>130</v>
      </c>
      <c r="T4" s="165" t="s">
        <v>130</v>
      </c>
      <c r="U4" s="165" t="s">
        <v>129</v>
      </c>
      <c r="V4" s="165" t="s">
        <v>128</v>
      </c>
      <c r="W4" s="165" t="s">
        <v>127</v>
      </c>
      <c r="X4" s="165" t="s">
        <v>126</v>
      </c>
      <c r="Y4" s="165" t="s">
        <v>131</v>
      </c>
      <c r="Z4" s="165" t="s">
        <v>130</v>
      </c>
      <c r="AA4" s="165" t="s">
        <v>130</v>
      </c>
      <c r="AB4" s="165" t="s">
        <v>129</v>
      </c>
      <c r="AC4" s="165" t="s">
        <v>128</v>
      </c>
      <c r="AD4" s="165" t="s">
        <v>127</v>
      </c>
      <c r="AE4" s="165" t="s">
        <v>126</v>
      </c>
      <c r="AF4" s="426"/>
    </row>
    <row r="5" spans="2:32">
      <c r="B5" s="666"/>
      <c r="C5" s="668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6"/>
    </row>
    <row r="6" spans="2:32">
      <c r="B6" s="664" t="s">
        <v>125</v>
      </c>
      <c r="C6" s="665"/>
      <c r="D6" s="427"/>
      <c r="E6" s="431"/>
      <c r="F6" s="431"/>
      <c r="G6" s="431"/>
      <c r="H6" s="431"/>
      <c r="I6" s="431"/>
      <c r="J6" s="431"/>
      <c r="K6" s="427"/>
      <c r="L6" s="431"/>
      <c r="M6" s="431"/>
      <c r="N6" s="431"/>
      <c r="O6" s="431"/>
      <c r="P6" s="431"/>
      <c r="Q6" s="431"/>
      <c r="R6" s="427"/>
      <c r="S6" s="431"/>
      <c r="T6" s="431"/>
      <c r="U6" s="431"/>
      <c r="V6" s="431"/>
      <c r="W6" s="431"/>
      <c r="X6" s="431"/>
      <c r="Y6" s="427"/>
      <c r="Z6" s="431"/>
      <c r="AA6" s="431"/>
      <c r="AB6" s="431"/>
      <c r="AC6" s="431"/>
      <c r="AD6" s="431"/>
      <c r="AE6" s="431"/>
      <c r="AF6" s="426"/>
    </row>
    <row r="7" spans="2:32">
      <c r="B7" s="664" t="s">
        <v>124</v>
      </c>
      <c r="C7" s="665"/>
      <c r="D7" s="427"/>
      <c r="E7" s="431"/>
      <c r="F7" s="431"/>
      <c r="G7" s="431"/>
      <c r="H7" s="431"/>
      <c r="I7" s="431"/>
      <c r="J7" s="431"/>
      <c r="K7" s="427"/>
      <c r="L7" s="431"/>
      <c r="M7" s="431"/>
      <c r="N7" s="431"/>
      <c r="O7" s="431"/>
      <c r="P7" s="431"/>
      <c r="Q7" s="431"/>
      <c r="R7" s="427"/>
      <c r="S7" s="431"/>
      <c r="T7" s="431"/>
      <c r="U7" s="431"/>
      <c r="V7" s="431"/>
      <c r="W7" s="431"/>
      <c r="X7" s="431"/>
      <c r="Y7" s="427"/>
      <c r="Z7" s="431"/>
      <c r="AA7" s="431"/>
      <c r="AB7" s="431"/>
      <c r="AC7" s="431"/>
      <c r="AD7" s="431"/>
      <c r="AE7" s="431"/>
      <c r="AF7" s="426"/>
    </row>
    <row r="8" spans="2:32">
      <c r="B8" s="664" t="s">
        <v>123</v>
      </c>
      <c r="C8" s="665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427"/>
      <c r="AA8" s="427"/>
      <c r="AB8" s="427"/>
      <c r="AC8" s="427"/>
      <c r="AD8" s="427"/>
      <c r="AE8" s="427"/>
      <c r="AF8" s="426"/>
    </row>
    <row r="9" spans="2:32" ht="15.75">
      <c r="B9" s="669" t="s">
        <v>122</v>
      </c>
      <c r="C9" s="670"/>
      <c r="D9" s="666"/>
      <c r="E9" s="667"/>
      <c r="F9" s="667"/>
      <c r="G9" s="667"/>
      <c r="H9" s="667"/>
      <c r="I9" s="667"/>
      <c r="J9" s="667"/>
      <c r="K9" s="667"/>
      <c r="L9" s="667"/>
      <c r="M9" s="667"/>
      <c r="N9" s="667"/>
      <c r="O9" s="667"/>
      <c r="P9" s="667"/>
      <c r="Q9" s="667"/>
      <c r="R9" s="667"/>
      <c r="S9" s="667"/>
      <c r="T9" s="667"/>
      <c r="U9" s="667"/>
      <c r="V9" s="667"/>
      <c r="W9" s="667"/>
      <c r="X9" s="667"/>
      <c r="Y9" s="667"/>
      <c r="Z9" s="667"/>
      <c r="AA9" s="667"/>
      <c r="AB9" s="667"/>
      <c r="AC9" s="667"/>
      <c r="AD9" s="667"/>
      <c r="AE9" s="668"/>
      <c r="AF9" s="426"/>
    </row>
    <row r="10" spans="2:32">
      <c r="B10" s="664" t="s">
        <v>121</v>
      </c>
      <c r="C10" s="665"/>
      <c r="D10" s="430"/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29"/>
      <c r="AE10" s="428"/>
      <c r="AF10" s="426"/>
    </row>
    <row r="11" spans="2:32">
      <c r="B11" s="664" t="s">
        <v>120</v>
      </c>
      <c r="C11" s="665"/>
      <c r="D11" s="427"/>
      <c r="E11" s="427"/>
      <c r="F11" s="427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B11" s="427"/>
      <c r="AC11" s="427"/>
      <c r="AD11" s="427"/>
      <c r="AE11" s="427"/>
      <c r="AF11" s="426"/>
    </row>
    <row r="12" spans="2:32">
      <c r="B12" s="664" t="s">
        <v>119</v>
      </c>
      <c r="C12" s="665"/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7"/>
      <c r="AE12" s="427"/>
      <c r="AF12" s="426"/>
    </row>
    <row r="13" spans="2:32">
      <c r="B13" s="664" t="s">
        <v>118</v>
      </c>
      <c r="C13" s="665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6"/>
    </row>
    <row r="14" spans="2:32">
      <c r="B14" s="664" t="s">
        <v>117</v>
      </c>
      <c r="C14" s="665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6"/>
    </row>
    <row r="15" spans="2:32">
      <c r="B15" s="664" t="s">
        <v>116</v>
      </c>
      <c r="C15" s="665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7"/>
      <c r="AE15" s="427"/>
      <c r="AF15" s="426"/>
    </row>
    <row r="16" spans="2:32">
      <c r="B16" s="664"/>
      <c r="C16" s="665"/>
      <c r="D16" s="666"/>
      <c r="E16" s="667"/>
      <c r="F16" s="667"/>
      <c r="G16" s="667"/>
      <c r="H16" s="667"/>
      <c r="I16" s="667"/>
      <c r="J16" s="667"/>
      <c r="K16" s="667"/>
      <c r="L16" s="667"/>
      <c r="M16" s="667"/>
      <c r="N16" s="667"/>
      <c r="O16" s="667"/>
      <c r="P16" s="667"/>
      <c r="Q16" s="667"/>
      <c r="R16" s="667"/>
      <c r="S16" s="667"/>
      <c r="T16" s="667"/>
      <c r="U16" s="667"/>
      <c r="V16" s="667"/>
      <c r="W16" s="667"/>
      <c r="X16" s="667"/>
      <c r="Y16" s="667"/>
      <c r="Z16" s="667"/>
      <c r="AA16" s="667"/>
      <c r="AB16" s="667"/>
      <c r="AC16" s="667"/>
      <c r="AD16" s="667"/>
      <c r="AE16" s="668"/>
      <c r="AF16" s="426"/>
    </row>
    <row r="17" spans="2:32">
      <c r="B17" s="664" t="s">
        <v>115</v>
      </c>
      <c r="C17" s="665"/>
      <c r="D17" s="427"/>
      <c r="E17" s="427"/>
      <c r="F17" s="427"/>
      <c r="G17" s="427"/>
      <c r="H17" s="427"/>
      <c r="I17" s="427"/>
      <c r="J17" s="427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7"/>
      <c r="AA17" s="427"/>
      <c r="AB17" s="427"/>
      <c r="AC17" s="427"/>
      <c r="AD17" s="427"/>
      <c r="AE17" s="427"/>
      <c r="AF17" s="426"/>
    </row>
    <row r="18" spans="2:32">
      <c r="B18" s="664"/>
      <c r="C18" s="665"/>
      <c r="D18" s="427"/>
      <c r="E18" s="427"/>
      <c r="F18" s="427"/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7"/>
      <c r="AE18" s="427"/>
      <c r="AF18" s="426"/>
    </row>
    <row r="19" spans="2:32">
      <c r="B19" s="664"/>
      <c r="C19" s="665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6"/>
    </row>
    <row r="20" spans="2:32">
      <c r="B20" s="664"/>
      <c r="C20" s="665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6"/>
    </row>
    <row r="21" spans="2:32">
      <c r="B21" s="664"/>
      <c r="C21" s="665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7"/>
      <c r="AC21" s="427"/>
      <c r="AD21" s="427"/>
      <c r="AE21" s="427"/>
      <c r="AF21" s="426"/>
    </row>
    <row r="22" spans="2:32">
      <c r="B22" s="664"/>
      <c r="C22" s="665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7"/>
      <c r="AA22" s="427"/>
      <c r="AB22" s="427"/>
      <c r="AC22" s="427"/>
      <c r="AD22" s="427"/>
      <c r="AE22" s="427"/>
      <c r="AF22" s="426"/>
    </row>
    <row r="23" spans="2:32">
      <c r="B23" s="664"/>
      <c r="C23" s="665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  <c r="AC23" s="427"/>
      <c r="AD23" s="427"/>
      <c r="AE23" s="427"/>
      <c r="AF23" s="426"/>
    </row>
    <row r="24" spans="2:32">
      <c r="B24" s="664"/>
      <c r="C24" s="665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  <c r="AB24" s="427"/>
      <c r="AC24" s="427"/>
      <c r="AD24" s="427"/>
      <c r="AE24" s="427"/>
      <c r="AF24" s="426"/>
    </row>
    <row r="25" spans="2:32">
      <c r="B25" s="664"/>
      <c r="C25" s="665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6"/>
    </row>
    <row r="26" spans="2:32">
      <c r="B26" s="664"/>
      <c r="C26" s="665"/>
      <c r="D26" s="427"/>
      <c r="E26" s="427"/>
      <c r="F26" s="427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7"/>
      <c r="X26" s="427"/>
      <c r="Y26" s="427"/>
      <c r="Z26" s="427"/>
      <c r="AA26" s="427"/>
      <c r="AB26" s="427"/>
      <c r="AC26" s="427"/>
      <c r="AD26" s="427"/>
      <c r="AE26" s="427"/>
      <c r="AF26" s="426"/>
    </row>
  </sheetData>
  <mergeCells count="30">
    <mergeCell ref="D16:AE16"/>
    <mergeCell ref="C1:X1"/>
    <mergeCell ref="B22:C22"/>
    <mergeCell ref="B23:C23"/>
    <mergeCell ref="B24:C24"/>
    <mergeCell ref="B5:C5"/>
    <mergeCell ref="B6:C6"/>
    <mergeCell ref="B7:C7"/>
    <mergeCell ref="B8:C8"/>
    <mergeCell ref="D3:J3"/>
    <mergeCell ref="K3:Q3"/>
    <mergeCell ref="R3:X3"/>
    <mergeCell ref="Y3:AE3"/>
    <mergeCell ref="B4:C4"/>
    <mergeCell ref="B25:C25"/>
    <mergeCell ref="B26:C26"/>
    <mergeCell ref="D9:AE9"/>
    <mergeCell ref="B16:C16"/>
    <mergeCell ref="B17:C17"/>
    <mergeCell ref="B18:C18"/>
    <mergeCell ref="B19:C19"/>
    <mergeCell ref="B20:C20"/>
    <mergeCell ref="B21:C21"/>
    <mergeCell ref="B9:C9"/>
    <mergeCell ref="B13:C13"/>
    <mergeCell ref="B14:C14"/>
    <mergeCell ref="B15:C15"/>
    <mergeCell ref="B11:C11"/>
    <mergeCell ref="B12:C12"/>
    <mergeCell ref="B10:C10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57"/>
  <sheetViews>
    <sheetView showGridLines="0" tabSelected="1" zoomScale="80" zoomScaleNormal="80" workbookViewId="0">
      <pane ySplit="9" topLeftCell="A10" activePane="bottomLeft" state="frozen"/>
      <selection activeCell="C1" sqref="C1"/>
      <selection pane="bottomLeft" activeCell="Q10" sqref="Q10:Q13"/>
    </sheetView>
  </sheetViews>
  <sheetFormatPr baseColWidth="10" defaultRowHeight="15"/>
  <cols>
    <col min="1" max="1" width="6" customWidth="1"/>
    <col min="2" max="2" width="10.28515625" customWidth="1"/>
    <col min="4" max="4" width="14.42578125" customWidth="1"/>
    <col min="5" max="7" width="8.5703125" customWidth="1"/>
    <col min="8" max="8" width="9.5703125" customWidth="1"/>
    <col min="9" max="9" width="1.140625" customWidth="1"/>
    <col min="10" max="13" width="9.28515625" style="5" customWidth="1"/>
    <col min="14" max="14" width="9.28515625" customWidth="1"/>
    <col min="15" max="15" width="1.140625" customWidth="1"/>
    <col min="16" max="16" width="8.85546875" style="3" customWidth="1"/>
    <col min="17" max="17" width="9" style="3" customWidth="1"/>
    <col min="18" max="20" width="9.5703125" style="3" customWidth="1"/>
    <col min="21" max="21" width="9" style="3" hidden="1" customWidth="1"/>
    <col min="22" max="27" width="9.85546875" style="3" customWidth="1"/>
    <col min="28" max="28" width="51.85546875" style="4" customWidth="1"/>
    <col min="29" max="29" width="11.42578125" style="202"/>
  </cols>
  <sheetData>
    <row r="1" spans="1:29">
      <c r="L1"/>
      <c r="M1"/>
    </row>
    <row r="2" spans="1:29">
      <c r="J2" s="5" t="str">
        <f>J9</f>
        <v>Résine</v>
      </c>
      <c r="K2" s="5" t="str">
        <f>K9</f>
        <v xml:space="preserve">Charge </v>
      </c>
      <c r="L2" t="str">
        <f>L9</f>
        <v>DOP</v>
      </c>
      <c r="M2" t="str">
        <f>M9</f>
        <v>Stab.</v>
      </c>
      <c r="N2" s="5" t="s">
        <v>14</v>
      </c>
      <c r="O2" s="135"/>
      <c r="Q2" s="134"/>
      <c r="S2" s="128"/>
      <c r="T2" s="128"/>
      <c r="U2" s="134"/>
      <c r="V2" s="134"/>
      <c r="W2" s="134"/>
      <c r="X2" s="134"/>
      <c r="Y2" s="134"/>
      <c r="Z2" s="134"/>
      <c r="AA2" s="134"/>
    </row>
    <row r="3" spans="1:29" ht="15.75" customHeight="1">
      <c r="B3" t="s">
        <v>67</v>
      </c>
      <c r="D3" s="170" t="s">
        <v>64</v>
      </c>
      <c r="E3" s="171">
        <v>168</v>
      </c>
      <c r="F3" t="s">
        <v>66</v>
      </c>
      <c r="G3" s="537" t="str">
        <f>E9</f>
        <v>PVC Isolat°</v>
      </c>
      <c r="H3" s="537"/>
      <c r="I3" s="133"/>
      <c r="J3" s="1">
        <v>0.46</v>
      </c>
      <c r="K3" s="2">
        <v>0.30620000000000003</v>
      </c>
      <c r="L3" s="2">
        <v>0.22</v>
      </c>
      <c r="M3" s="2">
        <v>1.38E-2</v>
      </c>
      <c r="N3" s="6"/>
      <c r="O3" s="11"/>
      <c r="P3" s="77"/>
      <c r="Q3" s="132"/>
      <c r="R3" s="7"/>
      <c r="S3" s="128"/>
      <c r="T3" s="128"/>
      <c r="U3" s="132"/>
      <c r="V3" s="132"/>
      <c r="W3" s="132"/>
      <c r="X3" s="132"/>
      <c r="Y3" s="132"/>
      <c r="Z3" s="132"/>
      <c r="AA3" s="132"/>
    </row>
    <row r="4" spans="1:29" ht="15.75" customHeight="1">
      <c r="B4" t="s">
        <v>63</v>
      </c>
      <c r="D4" s="170" t="s">
        <v>93</v>
      </c>
      <c r="E4">
        <v>144</v>
      </c>
      <c r="F4" t="s">
        <v>66</v>
      </c>
      <c r="G4" s="538" t="str">
        <f>F9</f>
        <v>PVC Gris</v>
      </c>
      <c r="H4" s="538"/>
      <c r="I4" s="131"/>
      <c r="J4" s="8">
        <v>0.45</v>
      </c>
      <c r="K4" s="8">
        <v>0.26829999999999998</v>
      </c>
      <c r="L4" s="8">
        <v>0.26790000000000003</v>
      </c>
      <c r="M4" s="8">
        <v>1.38E-2</v>
      </c>
      <c r="N4" s="8">
        <v>7.4000000000000003E-3</v>
      </c>
      <c r="O4" s="130"/>
      <c r="P4" s="128"/>
      <c r="R4" s="128"/>
    </row>
    <row r="5" spans="1:29" ht="15.75" customHeight="1">
      <c r="B5" t="s">
        <v>62</v>
      </c>
      <c r="D5" s="172">
        <v>10320</v>
      </c>
      <c r="E5" t="s">
        <v>61</v>
      </c>
      <c r="G5" s="539" t="str">
        <f>G9</f>
        <v>PVC Gainage</v>
      </c>
      <c r="H5" s="539"/>
      <c r="I5" s="129"/>
      <c r="J5" s="9">
        <v>0.45</v>
      </c>
      <c r="K5" s="9">
        <v>0.26829999999999998</v>
      </c>
      <c r="L5" s="9">
        <v>0.26790000000000003</v>
      </c>
      <c r="M5" s="9">
        <v>1.38E-2</v>
      </c>
      <c r="N5" s="6"/>
      <c r="O5" s="11"/>
      <c r="P5" s="7"/>
      <c r="R5" s="128"/>
      <c r="X5" s="127"/>
    </row>
    <row r="6" spans="1:29" ht="15.75" customHeight="1">
      <c r="G6" s="540" t="str">
        <f>H9</f>
        <v>PVC Bourrage</v>
      </c>
      <c r="H6" s="540"/>
      <c r="I6" s="126"/>
      <c r="J6" s="10">
        <v>0.35320000000000001</v>
      </c>
      <c r="K6" s="10">
        <v>0.42420000000000002</v>
      </c>
      <c r="L6" s="10">
        <v>0.21199999999999999</v>
      </c>
      <c r="M6" s="10">
        <v>1.06E-2</v>
      </c>
      <c r="N6" s="6"/>
      <c r="O6" s="11"/>
      <c r="P6" s="7"/>
      <c r="Q6" s="125"/>
      <c r="T6" s="7"/>
      <c r="U6" s="125"/>
      <c r="V6" s="125"/>
      <c r="W6" s="125"/>
      <c r="X6" s="125"/>
      <c r="Y6" s="125"/>
      <c r="Z6" s="125"/>
      <c r="AA6" s="125"/>
    </row>
    <row r="7" spans="1:29" s="11" customFormat="1">
      <c r="H7" s="12"/>
      <c r="Q7" s="125"/>
      <c r="R7" s="124">
        <v>24</v>
      </c>
      <c r="T7" s="3"/>
      <c r="U7" s="13"/>
      <c r="V7" s="13"/>
      <c r="W7" s="13"/>
      <c r="X7" s="13"/>
      <c r="Y7" s="13"/>
      <c r="Z7" s="13"/>
      <c r="AA7" s="13"/>
      <c r="AB7" s="14"/>
      <c r="AC7" s="12"/>
    </row>
    <row r="8" spans="1:29" ht="18.75" customHeight="1">
      <c r="B8" s="505" t="s">
        <v>0</v>
      </c>
      <c r="C8" s="505" t="s">
        <v>1</v>
      </c>
      <c r="D8" s="505" t="s">
        <v>2</v>
      </c>
      <c r="E8" s="509" t="s">
        <v>3</v>
      </c>
      <c r="F8" s="509"/>
      <c r="G8" s="509"/>
      <c r="H8" s="546"/>
      <c r="I8" s="15"/>
      <c r="J8" s="508" t="s">
        <v>4</v>
      </c>
      <c r="K8" s="509"/>
      <c r="L8" s="509"/>
      <c r="M8" s="509"/>
      <c r="N8" s="509"/>
      <c r="O8" s="506"/>
      <c r="P8" s="123" t="s">
        <v>49</v>
      </c>
      <c r="Q8" s="122" t="s">
        <v>48</v>
      </c>
      <c r="R8" s="541" t="s">
        <v>47</v>
      </c>
      <c r="S8" s="543" t="s">
        <v>46</v>
      </c>
      <c r="T8" s="543"/>
      <c r="V8" s="550" t="s">
        <v>33</v>
      </c>
      <c r="W8" s="551"/>
      <c r="X8" s="551"/>
      <c r="Y8" s="551"/>
      <c r="Z8" s="551"/>
      <c r="AA8" s="552"/>
      <c r="AB8" s="121"/>
    </row>
    <row r="9" spans="1:29" ht="35.25" customHeight="1">
      <c r="B9" s="505"/>
      <c r="C9" s="505"/>
      <c r="D9" s="505"/>
      <c r="E9" s="120" t="s">
        <v>6</v>
      </c>
      <c r="F9" s="119" t="s">
        <v>7</v>
      </c>
      <c r="G9" s="118" t="s">
        <v>8</v>
      </c>
      <c r="H9" s="117" t="s">
        <v>9</v>
      </c>
      <c r="I9" s="16"/>
      <c r="J9" s="17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507"/>
      <c r="P9" s="116" t="s">
        <v>45</v>
      </c>
      <c r="Q9" s="116" t="s">
        <v>44</v>
      </c>
      <c r="R9" s="542"/>
      <c r="S9" s="115" t="s">
        <v>43</v>
      </c>
      <c r="T9" s="114" t="s">
        <v>42</v>
      </c>
      <c r="U9" s="64"/>
      <c r="V9" s="204" t="s">
        <v>41</v>
      </c>
      <c r="W9" s="205" t="s">
        <v>40</v>
      </c>
      <c r="X9" s="206" t="s">
        <v>39</v>
      </c>
      <c r="Y9" s="207" t="s">
        <v>75</v>
      </c>
      <c r="Z9" s="208" t="s">
        <v>76</v>
      </c>
      <c r="AA9" s="209" t="s">
        <v>77</v>
      </c>
      <c r="AB9" s="65" t="s">
        <v>5</v>
      </c>
    </row>
    <row r="10" spans="1:29" ht="18" customHeight="1">
      <c r="B10" s="560">
        <v>42877</v>
      </c>
      <c r="C10" s="495" t="s">
        <v>16</v>
      </c>
      <c r="D10" s="493" t="s">
        <v>17</v>
      </c>
      <c r="E10" s="19"/>
      <c r="F10" s="561">
        <v>4200</v>
      </c>
      <c r="G10" s="19"/>
      <c r="H10" s="19"/>
      <c r="I10" s="21"/>
      <c r="J10" s="474">
        <f>$F10*J$4</f>
        <v>1890</v>
      </c>
      <c r="K10" s="474">
        <f>$F10*K$4</f>
        <v>1126.8599999999999</v>
      </c>
      <c r="L10" s="474">
        <f>$F10*L$4</f>
        <v>1125.18</v>
      </c>
      <c r="M10" s="474">
        <f>$F10*M$4</f>
        <v>57.96</v>
      </c>
      <c r="N10" s="474">
        <f>$F10*N$4</f>
        <v>31.080000000000002</v>
      </c>
      <c r="O10" s="21"/>
      <c r="P10" s="495">
        <f>F10+F12</f>
        <v>8760</v>
      </c>
      <c r="Q10" s="562">
        <f>P10*R7/D5</f>
        <v>20.372093023255815</v>
      </c>
      <c r="R10" s="563">
        <f>Q10/R7</f>
        <v>0.84883720930232565</v>
      </c>
      <c r="S10" s="495">
        <f>D5-P10</f>
        <v>1560</v>
      </c>
      <c r="T10" s="567">
        <f>S10/D5</f>
        <v>0.15116279069767441</v>
      </c>
      <c r="U10" s="113"/>
      <c r="V10" s="261">
        <v>3</v>
      </c>
      <c r="W10" s="216"/>
      <c r="X10" s="216"/>
      <c r="Y10" s="216"/>
      <c r="Z10" s="216"/>
      <c r="AA10" s="217"/>
      <c r="AB10" s="111" t="s">
        <v>18</v>
      </c>
    </row>
    <row r="11" spans="1:29" ht="18" customHeight="1">
      <c r="A11" s="510" t="s">
        <v>15</v>
      </c>
      <c r="B11" s="512"/>
      <c r="C11" s="467"/>
      <c r="D11" s="526"/>
      <c r="E11" s="19"/>
      <c r="F11" s="489"/>
      <c r="G11" s="19"/>
      <c r="H11" s="19"/>
      <c r="I11" s="21"/>
      <c r="J11" s="475"/>
      <c r="K11" s="475"/>
      <c r="L11" s="475"/>
      <c r="M11" s="475"/>
      <c r="N11" s="475"/>
      <c r="O11" s="21"/>
      <c r="P11" s="450"/>
      <c r="Q11" s="453"/>
      <c r="R11" s="456"/>
      <c r="S11" s="450"/>
      <c r="T11" s="477"/>
      <c r="U11" s="564">
        <f>Q10+Y13</f>
        <v>20.372093023255815</v>
      </c>
      <c r="V11" s="232"/>
      <c r="W11" s="210"/>
      <c r="X11" s="210"/>
      <c r="Y11" s="210"/>
      <c r="Z11" s="221"/>
      <c r="AA11" s="222"/>
      <c r="AB11" s="108"/>
    </row>
    <row r="12" spans="1:29" ht="18" customHeight="1">
      <c r="A12" s="510"/>
      <c r="B12" s="512"/>
      <c r="C12" s="495" t="s">
        <v>19</v>
      </c>
      <c r="D12" s="493" t="s">
        <v>20</v>
      </c>
      <c r="E12" s="19"/>
      <c r="F12" s="496">
        <v>4560</v>
      </c>
      <c r="G12" s="19"/>
      <c r="H12" s="19"/>
      <c r="I12" s="21"/>
      <c r="J12" s="474">
        <f>$F12*J$4</f>
        <v>2052</v>
      </c>
      <c r="K12" s="474">
        <f>$F12*K$4</f>
        <v>1223.4479999999999</v>
      </c>
      <c r="L12" s="474">
        <f>$F12*L$4</f>
        <v>1221.624</v>
      </c>
      <c r="M12" s="474">
        <f>$F12*M$4</f>
        <v>62.927999999999997</v>
      </c>
      <c r="N12" s="474">
        <f>$F12*N$4</f>
        <v>33.744</v>
      </c>
      <c r="O12" s="21"/>
      <c r="P12" s="450"/>
      <c r="Q12" s="453"/>
      <c r="R12" s="456"/>
      <c r="S12" s="450"/>
      <c r="T12" s="477"/>
      <c r="U12" s="480"/>
      <c r="V12" s="232"/>
      <c r="W12" s="210"/>
      <c r="X12" s="225">
        <v>0.75</v>
      </c>
      <c r="Y12" s="225"/>
      <c r="Z12" s="225"/>
      <c r="AA12" s="225"/>
      <c r="AB12" s="227" t="s">
        <v>37</v>
      </c>
    </row>
    <row r="13" spans="1:29" ht="18" customHeight="1" thickBot="1">
      <c r="A13" s="510"/>
      <c r="B13" s="513"/>
      <c r="C13" s="451"/>
      <c r="D13" s="494"/>
      <c r="E13" s="22"/>
      <c r="F13" s="497"/>
      <c r="G13" s="22"/>
      <c r="H13" s="22"/>
      <c r="I13" s="23"/>
      <c r="J13" s="501"/>
      <c r="K13" s="501"/>
      <c r="L13" s="501"/>
      <c r="M13" s="501"/>
      <c r="N13" s="501"/>
      <c r="O13" s="23"/>
      <c r="P13" s="451"/>
      <c r="Q13" s="454"/>
      <c r="R13" s="457"/>
      <c r="S13" s="451"/>
      <c r="T13" s="478"/>
      <c r="U13" s="481"/>
      <c r="V13" s="253"/>
      <c r="W13" s="221"/>
      <c r="X13" s="221"/>
      <c r="Y13" s="221"/>
      <c r="Z13" s="221"/>
      <c r="AA13" s="222"/>
      <c r="AB13" s="108"/>
      <c r="AC13" s="203">
        <f>+Q10+V10+X12</f>
        <v>24.122093023255815</v>
      </c>
    </row>
    <row r="14" spans="1:29" ht="18" customHeight="1" thickTop="1" thickBot="1">
      <c r="A14" s="510" t="s">
        <v>21</v>
      </c>
      <c r="B14" s="511">
        <v>42878</v>
      </c>
      <c r="C14" s="449" t="s">
        <v>16</v>
      </c>
      <c r="D14" s="468" t="s">
        <v>17</v>
      </c>
      <c r="E14" s="19"/>
      <c r="F14" s="488">
        <v>360</v>
      </c>
      <c r="G14" s="19"/>
      <c r="H14" s="19"/>
      <c r="I14" s="491"/>
      <c r="J14" s="490">
        <f>$F14*J$4</f>
        <v>162</v>
      </c>
      <c r="K14" s="490">
        <f>$F14*K$4</f>
        <v>96.587999999999994</v>
      </c>
      <c r="L14" s="490">
        <f>$F14*L$4</f>
        <v>96.444000000000017</v>
      </c>
      <c r="M14" s="490">
        <f>$F14*M$4</f>
        <v>4.968</v>
      </c>
      <c r="N14" s="490">
        <f>$F14*N$4</f>
        <v>2.6640000000000001</v>
      </c>
      <c r="O14" s="21"/>
      <c r="P14" s="449">
        <f>F14+F16</f>
        <v>3120</v>
      </c>
      <c r="Q14" s="502">
        <f>P14*R7/D5</f>
        <v>7.2558139534883717</v>
      </c>
      <c r="R14" s="455">
        <f>Q14/R7</f>
        <v>0.30232558139534882</v>
      </c>
      <c r="S14" s="449">
        <f>+D5-P14</f>
        <v>7200</v>
      </c>
      <c r="T14" s="476">
        <f>S14/D5</f>
        <v>0.69767441860465118</v>
      </c>
      <c r="U14" s="105"/>
      <c r="V14" s="254"/>
      <c r="W14" s="212"/>
      <c r="X14" s="212"/>
      <c r="Y14" s="212"/>
      <c r="Z14" s="212"/>
      <c r="AA14" s="196"/>
      <c r="AB14" s="97"/>
      <c r="AC14" s="203"/>
    </row>
    <row r="15" spans="1:29" ht="18" customHeight="1" thickTop="1">
      <c r="A15" s="510"/>
      <c r="B15" s="512"/>
      <c r="C15" s="467"/>
      <c r="D15" s="469"/>
      <c r="E15" s="19"/>
      <c r="F15" s="489"/>
      <c r="G15" s="19"/>
      <c r="H15" s="19"/>
      <c r="I15" s="448"/>
      <c r="J15" s="475"/>
      <c r="K15" s="475"/>
      <c r="L15" s="475"/>
      <c r="M15" s="475"/>
      <c r="N15" s="475"/>
      <c r="O15" s="25"/>
      <c r="P15" s="450"/>
      <c r="Q15" s="503"/>
      <c r="R15" s="456"/>
      <c r="S15" s="450"/>
      <c r="T15" s="477"/>
      <c r="U15" s="564">
        <f>Q14+Y15+Y17</f>
        <v>7.2558139534883717</v>
      </c>
      <c r="V15" s="232"/>
      <c r="W15" s="210"/>
      <c r="X15" s="225">
        <v>1.25</v>
      </c>
      <c r="Y15" s="225"/>
      <c r="Z15" s="225"/>
      <c r="AA15" s="225"/>
      <c r="AB15" s="227" t="s">
        <v>37</v>
      </c>
      <c r="AC15" s="203"/>
    </row>
    <row r="16" spans="1:29" ht="18" customHeight="1">
      <c r="A16" s="510"/>
      <c r="B16" s="512"/>
      <c r="C16" s="495" t="s">
        <v>19</v>
      </c>
      <c r="D16" s="493" t="s">
        <v>22</v>
      </c>
      <c r="E16" s="19"/>
      <c r="F16" s="496">
        <v>2760</v>
      </c>
      <c r="G16" s="19"/>
      <c r="H16" s="19"/>
      <c r="I16" s="448"/>
      <c r="J16" s="474">
        <f>$F16*J$4</f>
        <v>1242</v>
      </c>
      <c r="K16" s="474">
        <f>$F16*K$4</f>
        <v>740.50799999999992</v>
      </c>
      <c r="L16" s="474">
        <f>$F16*L$4</f>
        <v>739.40400000000011</v>
      </c>
      <c r="M16" s="474">
        <f>$F16*M$4</f>
        <v>38.088000000000001</v>
      </c>
      <c r="N16" s="474">
        <f>$F16*N$4</f>
        <v>20.423999999999999</v>
      </c>
      <c r="O16" s="21"/>
      <c r="P16" s="450"/>
      <c r="Q16" s="503"/>
      <c r="R16" s="456"/>
      <c r="S16" s="450"/>
      <c r="T16" s="477"/>
      <c r="U16" s="480"/>
      <c r="V16" s="232"/>
      <c r="W16" s="210"/>
      <c r="X16" s="210"/>
      <c r="Y16" s="102">
        <v>8</v>
      </c>
      <c r="Z16" s="102"/>
      <c r="AA16" s="200"/>
      <c r="AB16" s="228" t="s">
        <v>51</v>
      </c>
      <c r="AC16" s="203"/>
    </row>
    <row r="17" spans="1:29" ht="18" customHeight="1" thickBot="1">
      <c r="A17" s="510"/>
      <c r="B17" s="513"/>
      <c r="C17" s="451"/>
      <c r="D17" s="494"/>
      <c r="E17" s="22"/>
      <c r="F17" s="497"/>
      <c r="G17" s="22"/>
      <c r="H17" s="22"/>
      <c r="I17" s="492"/>
      <c r="J17" s="501"/>
      <c r="K17" s="501"/>
      <c r="L17" s="501"/>
      <c r="M17" s="501"/>
      <c r="N17" s="501"/>
      <c r="O17" s="23"/>
      <c r="P17" s="451"/>
      <c r="Q17" s="504"/>
      <c r="R17" s="457"/>
      <c r="S17" s="451"/>
      <c r="T17" s="478"/>
      <c r="U17" s="481"/>
      <c r="V17" s="234"/>
      <c r="W17" s="230"/>
      <c r="X17" s="230"/>
      <c r="Y17" s="221"/>
      <c r="Z17" s="240">
        <v>7.5</v>
      </c>
      <c r="AA17" s="199"/>
      <c r="AB17" s="229" t="s">
        <v>78</v>
      </c>
      <c r="AC17" s="203">
        <f>Q14+X15+Z17+Z16+Y16</f>
        <v>24.005813953488371</v>
      </c>
    </row>
    <row r="18" spans="1:29" ht="18" customHeight="1" thickTop="1" thickBot="1">
      <c r="A18" s="510" t="s">
        <v>23</v>
      </c>
      <c r="B18" s="511">
        <v>42879</v>
      </c>
      <c r="C18" s="449" t="s">
        <v>16</v>
      </c>
      <c r="D18" s="468" t="s">
        <v>17</v>
      </c>
      <c r="E18" s="19"/>
      <c r="F18" s="488">
        <v>4800</v>
      </c>
      <c r="G18" s="19"/>
      <c r="H18" s="19"/>
      <c r="I18" s="21"/>
      <c r="J18" s="490">
        <f>$F18*J$4</f>
        <v>2160</v>
      </c>
      <c r="K18" s="490">
        <f>$F18*K$4</f>
        <v>1287.8399999999999</v>
      </c>
      <c r="L18" s="490">
        <f>$F18*L$4</f>
        <v>1285.92</v>
      </c>
      <c r="M18" s="490">
        <f>$F18*M$4</f>
        <v>66.239999999999995</v>
      </c>
      <c r="N18" s="490">
        <f>$F18*N$4</f>
        <v>35.520000000000003</v>
      </c>
      <c r="O18" s="21"/>
      <c r="P18" s="449">
        <f>F18+F20</f>
        <v>10320</v>
      </c>
      <c r="Q18" s="502">
        <f>P18*R7/D5</f>
        <v>24</v>
      </c>
      <c r="R18" s="455">
        <f>Q18/R7</f>
        <v>1</v>
      </c>
      <c r="S18" s="449">
        <f>+D5-P18</f>
        <v>0</v>
      </c>
      <c r="T18" s="476">
        <f>S18/D5</f>
        <v>0</v>
      </c>
      <c r="U18" s="105"/>
      <c r="V18" s="254"/>
      <c r="W18" s="212"/>
      <c r="X18" s="212"/>
      <c r="Y18" s="212"/>
      <c r="Z18" s="212"/>
      <c r="AA18" s="196"/>
      <c r="AB18" s="97"/>
      <c r="AC18" s="203"/>
    </row>
    <row r="19" spans="1:29" ht="18" customHeight="1" thickTop="1">
      <c r="A19" s="510"/>
      <c r="B19" s="512"/>
      <c r="C19" s="467"/>
      <c r="D19" s="469"/>
      <c r="E19" s="19"/>
      <c r="F19" s="489"/>
      <c r="G19" s="19"/>
      <c r="H19" s="19"/>
      <c r="I19" s="21"/>
      <c r="J19" s="475"/>
      <c r="K19" s="475"/>
      <c r="L19" s="475"/>
      <c r="M19" s="475"/>
      <c r="N19" s="475"/>
      <c r="O19" s="21"/>
      <c r="P19" s="450"/>
      <c r="Q19" s="503"/>
      <c r="R19" s="456"/>
      <c r="S19" s="450"/>
      <c r="T19" s="477"/>
      <c r="U19" s="547"/>
      <c r="V19" s="232"/>
      <c r="W19" s="210"/>
      <c r="X19" s="210"/>
      <c r="Y19" s="210"/>
      <c r="Z19" s="210"/>
      <c r="AA19" s="194"/>
      <c r="AB19" s="90"/>
      <c r="AC19" s="203"/>
    </row>
    <row r="20" spans="1:29" ht="18" customHeight="1">
      <c r="A20" s="510"/>
      <c r="B20" s="512"/>
      <c r="C20" s="495" t="s">
        <v>19</v>
      </c>
      <c r="D20" s="493" t="s">
        <v>22</v>
      </c>
      <c r="E20" s="19"/>
      <c r="F20" s="496">
        <f>46*120</f>
        <v>5520</v>
      </c>
      <c r="G20" s="19"/>
      <c r="H20" s="19"/>
      <c r="I20" s="21"/>
      <c r="J20" s="474">
        <f>$F20*J$4</f>
        <v>2484</v>
      </c>
      <c r="K20" s="474">
        <f>$F20*K$4</f>
        <v>1481.0159999999998</v>
      </c>
      <c r="L20" s="474">
        <f>$F20*L$4</f>
        <v>1478.8080000000002</v>
      </c>
      <c r="M20" s="474">
        <f>$F20*M$4</f>
        <v>76.176000000000002</v>
      </c>
      <c r="N20" s="474">
        <f>$F20*N$4</f>
        <v>40.847999999999999</v>
      </c>
      <c r="O20" s="21"/>
      <c r="P20" s="450"/>
      <c r="Q20" s="503"/>
      <c r="R20" s="456"/>
      <c r="S20" s="450"/>
      <c r="T20" s="477"/>
      <c r="U20" s="548"/>
      <c r="V20" s="232"/>
      <c r="W20" s="210"/>
      <c r="X20" s="210"/>
      <c r="Y20" s="210"/>
      <c r="Z20" s="210"/>
      <c r="AA20" s="194"/>
      <c r="AB20" s="90"/>
      <c r="AC20" s="203"/>
    </row>
    <row r="21" spans="1:29" ht="18" customHeight="1" thickBot="1">
      <c r="A21" s="510"/>
      <c r="B21" s="513"/>
      <c r="C21" s="451"/>
      <c r="D21" s="494"/>
      <c r="E21" s="22"/>
      <c r="F21" s="497"/>
      <c r="G21" s="22"/>
      <c r="H21" s="22"/>
      <c r="I21" s="23"/>
      <c r="J21" s="501"/>
      <c r="K21" s="501"/>
      <c r="L21" s="501"/>
      <c r="M21" s="501"/>
      <c r="N21" s="501"/>
      <c r="O21" s="23"/>
      <c r="P21" s="451"/>
      <c r="Q21" s="504"/>
      <c r="R21" s="457"/>
      <c r="S21" s="451"/>
      <c r="T21" s="478"/>
      <c r="U21" s="549"/>
      <c r="V21" s="234"/>
      <c r="W21" s="230"/>
      <c r="X21" s="230"/>
      <c r="Y21" s="230"/>
      <c r="Z21" s="230"/>
      <c r="AA21" s="235"/>
      <c r="AB21" s="26"/>
      <c r="AC21" s="203">
        <f>Q18+X20</f>
        <v>24</v>
      </c>
    </row>
    <row r="22" spans="1:29" ht="18" customHeight="1" thickTop="1" thickBot="1">
      <c r="A22" s="63"/>
      <c r="B22" s="511">
        <v>42880</v>
      </c>
      <c r="C22" s="449" t="s">
        <v>16</v>
      </c>
      <c r="D22" s="468" t="s">
        <v>17</v>
      </c>
      <c r="E22" s="19"/>
      <c r="F22" s="488">
        <f>28*120</f>
        <v>3360</v>
      </c>
      <c r="G22" s="19"/>
      <c r="H22" s="19"/>
      <c r="I22" s="491"/>
      <c r="J22" s="490">
        <f>$F22*J$4</f>
        <v>1512</v>
      </c>
      <c r="K22" s="490">
        <f>$F22*K$4</f>
        <v>901.48799999999994</v>
      </c>
      <c r="L22" s="490">
        <f>$F22*L$4</f>
        <v>900.14400000000012</v>
      </c>
      <c r="M22" s="490">
        <f>$F22*M$4</f>
        <v>46.368000000000002</v>
      </c>
      <c r="N22" s="490">
        <f>$F22*N$4</f>
        <v>24.864000000000001</v>
      </c>
      <c r="O22" s="491"/>
      <c r="P22" s="449">
        <f>SUM(E22:H26)</f>
        <v>8520</v>
      </c>
      <c r="Q22" s="482">
        <f>P22*R7/D5</f>
        <v>19.813953488372093</v>
      </c>
      <c r="R22" s="455">
        <f>Q22/R7</f>
        <v>0.82558139534883723</v>
      </c>
      <c r="S22" s="449">
        <f>+D5-P22</f>
        <v>1800</v>
      </c>
      <c r="T22" s="485">
        <f>S22/D5</f>
        <v>0.1744186046511628</v>
      </c>
      <c r="U22" s="104"/>
      <c r="V22" s="254"/>
      <c r="W22" s="212"/>
      <c r="X22" s="212"/>
      <c r="Y22" s="212"/>
      <c r="Z22" s="212"/>
      <c r="AA22" s="212"/>
      <c r="AB22" s="103"/>
      <c r="AC22" s="241"/>
    </row>
    <row r="23" spans="1:29" ht="18" customHeight="1" thickTop="1">
      <c r="A23" s="510" t="s">
        <v>24</v>
      </c>
      <c r="B23" s="498"/>
      <c r="C23" s="467"/>
      <c r="D23" s="469"/>
      <c r="E23" s="19"/>
      <c r="F23" s="489"/>
      <c r="G23" s="19"/>
      <c r="H23" s="19"/>
      <c r="I23" s="448"/>
      <c r="J23" s="475"/>
      <c r="K23" s="475"/>
      <c r="L23" s="475"/>
      <c r="M23" s="475"/>
      <c r="N23" s="475"/>
      <c r="O23" s="448"/>
      <c r="P23" s="450"/>
      <c r="Q23" s="483"/>
      <c r="R23" s="456"/>
      <c r="S23" s="450"/>
      <c r="T23" s="486"/>
      <c r="U23" s="482">
        <f>Q22+Y23+Y25</f>
        <v>19.813953488372093</v>
      </c>
      <c r="V23" s="232"/>
      <c r="W23" s="210"/>
      <c r="X23" s="210"/>
      <c r="Y23" s="210"/>
      <c r="Z23" s="210"/>
      <c r="AA23" s="210"/>
      <c r="AB23" s="90"/>
      <c r="AC23" s="241"/>
    </row>
    <row r="24" spans="1:29" ht="18" customHeight="1">
      <c r="A24" s="510"/>
      <c r="B24" s="498"/>
      <c r="C24" s="495" t="s">
        <v>19</v>
      </c>
      <c r="D24" s="493" t="s">
        <v>22</v>
      </c>
      <c r="E24" s="19"/>
      <c r="F24" s="496">
        <f>34*120</f>
        <v>4080</v>
      </c>
      <c r="G24" s="19"/>
      <c r="H24" s="19"/>
      <c r="I24" s="21"/>
      <c r="J24" s="474">
        <f>$F24*J$4</f>
        <v>1836</v>
      </c>
      <c r="K24" s="474">
        <f>$F24*K$4</f>
        <v>1094.664</v>
      </c>
      <c r="L24" s="474">
        <f>$F24*L$4</f>
        <v>1093.0320000000002</v>
      </c>
      <c r="M24" s="474">
        <f>$F24*M$4</f>
        <v>56.304000000000002</v>
      </c>
      <c r="N24" s="474">
        <f>$F24*N$4</f>
        <v>30.192</v>
      </c>
      <c r="O24" s="448"/>
      <c r="P24" s="450"/>
      <c r="Q24" s="483"/>
      <c r="R24" s="456"/>
      <c r="S24" s="450"/>
      <c r="T24" s="486"/>
      <c r="U24" s="483"/>
      <c r="V24" s="232"/>
      <c r="W24" s="210"/>
      <c r="X24" s="225">
        <v>2.25</v>
      </c>
      <c r="Y24" s="225"/>
      <c r="Z24" s="225"/>
      <c r="AA24" s="225"/>
      <c r="AB24" s="227" t="s">
        <v>37</v>
      </c>
      <c r="AC24" s="241"/>
    </row>
    <row r="25" spans="1:29" ht="18" customHeight="1">
      <c r="A25" s="510"/>
      <c r="B25" s="498"/>
      <c r="C25" s="498"/>
      <c r="D25" s="500"/>
      <c r="E25" s="19"/>
      <c r="F25" s="489"/>
      <c r="G25" s="27"/>
      <c r="H25" s="27"/>
      <c r="I25" s="21"/>
      <c r="J25" s="475"/>
      <c r="K25" s="475"/>
      <c r="L25" s="475"/>
      <c r="M25" s="475"/>
      <c r="N25" s="475"/>
      <c r="O25" s="448"/>
      <c r="P25" s="450"/>
      <c r="Q25" s="483"/>
      <c r="R25" s="456"/>
      <c r="S25" s="450"/>
      <c r="T25" s="486"/>
      <c r="U25" s="483"/>
      <c r="V25" s="232"/>
      <c r="W25" s="210"/>
      <c r="X25" s="210"/>
      <c r="Y25" s="210"/>
      <c r="Z25" s="221"/>
      <c r="AA25" s="109">
        <v>1</v>
      </c>
      <c r="AB25" s="465" t="s">
        <v>38</v>
      </c>
      <c r="AC25" s="203">
        <f>+Q22+X24+AA25+AA26</f>
        <v>24.063953488372093</v>
      </c>
    </row>
    <row r="26" spans="1:29" ht="26.25" customHeight="1" thickBot="1">
      <c r="A26" s="510"/>
      <c r="B26" s="499"/>
      <c r="C26" s="499"/>
      <c r="D26" s="494"/>
      <c r="E26" s="22"/>
      <c r="F26" s="22"/>
      <c r="G26" s="22"/>
      <c r="H26" s="28">
        <v>1080</v>
      </c>
      <c r="I26" s="23"/>
      <c r="J26" s="29">
        <f t="shared" ref="J26:N27" si="0">$H26*J$6</f>
        <v>381.45600000000002</v>
      </c>
      <c r="K26" s="29">
        <f t="shared" si="0"/>
        <v>458.13600000000002</v>
      </c>
      <c r="L26" s="29">
        <f t="shared" si="0"/>
        <v>228.95999999999998</v>
      </c>
      <c r="M26" s="29">
        <f t="shared" si="0"/>
        <v>11.448</v>
      </c>
      <c r="N26" s="30">
        <f t="shared" si="0"/>
        <v>0</v>
      </c>
      <c r="O26" s="492"/>
      <c r="P26" s="451"/>
      <c r="Q26" s="484"/>
      <c r="R26" s="457"/>
      <c r="S26" s="451"/>
      <c r="T26" s="487"/>
      <c r="U26" s="484"/>
      <c r="V26" s="260"/>
      <c r="W26" s="257"/>
      <c r="X26" s="257"/>
      <c r="Y26" s="231"/>
      <c r="Z26" s="230"/>
      <c r="AA26" s="101">
        <v>1</v>
      </c>
      <c r="AB26" s="466"/>
      <c r="AC26" s="203"/>
    </row>
    <row r="27" spans="1:29" ht="18" customHeight="1" thickTop="1" thickBot="1">
      <c r="A27" s="63"/>
      <c r="B27" s="511">
        <v>42881</v>
      </c>
      <c r="C27" s="449" t="s">
        <v>16</v>
      </c>
      <c r="D27" s="468" t="s">
        <v>17</v>
      </c>
      <c r="E27" s="470"/>
      <c r="F27" s="470"/>
      <c r="G27" s="100"/>
      <c r="H27" s="472">
        <v>4800</v>
      </c>
      <c r="I27" s="21"/>
      <c r="J27" s="461">
        <f t="shared" si="0"/>
        <v>1695.3600000000001</v>
      </c>
      <c r="K27" s="461">
        <f t="shared" si="0"/>
        <v>2036.16</v>
      </c>
      <c r="L27" s="461">
        <f t="shared" si="0"/>
        <v>1017.6</v>
      </c>
      <c r="M27" s="461">
        <f t="shared" si="0"/>
        <v>50.88</v>
      </c>
      <c r="N27" s="463">
        <f t="shared" si="0"/>
        <v>0</v>
      </c>
      <c r="O27" s="99"/>
      <c r="P27" s="449">
        <f>SUM(E27:H30)</f>
        <v>9600</v>
      </c>
      <c r="Q27" s="479">
        <f>P27*R7/D5</f>
        <v>22.325581395348838</v>
      </c>
      <c r="R27" s="455">
        <f>Q27/R7</f>
        <v>0.93023255813953487</v>
      </c>
      <c r="S27" s="449">
        <f>+D5-P27</f>
        <v>720</v>
      </c>
      <c r="T27" s="476">
        <f>S27/D5</f>
        <v>6.9767441860465115E-2</v>
      </c>
      <c r="U27" s="98"/>
      <c r="V27" s="254"/>
      <c r="W27" s="212"/>
      <c r="X27" s="212"/>
      <c r="Y27" s="212"/>
      <c r="Z27" s="212"/>
      <c r="AA27" s="212"/>
      <c r="AB27" s="97"/>
      <c r="AC27" s="203"/>
    </row>
    <row r="28" spans="1:29" ht="18" customHeight="1" thickTop="1">
      <c r="A28" s="510" t="s">
        <v>25</v>
      </c>
      <c r="B28" s="512"/>
      <c r="C28" s="467"/>
      <c r="D28" s="469"/>
      <c r="E28" s="471"/>
      <c r="F28" s="471"/>
      <c r="G28" s="31"/>
      <c r="H28" s="473"/>
      <c r="I28" s="21"/>
      <c r="J28" s="462"/>
      <c r="K28" s="462"/>
      <c r="L28" s="462"/>
      <c r="M28" s="462"/>
      <c r="N28" s="464"/>
      <c r="O28" s="21"/>
      <c r="P28" s="450"/>
      <c r="Q28" s="480"/>
      <c r="R28" s="456"/>
      <c r="S28" s="450"/>
      <c r="T28" s="477"/>
      <c r="U28" s="479">
        <f>Y28+Y30+Q27</f>
        <v>22.325581395348838</v>
      </c>
      <c r="V28" s="232"/>
      <c r="W28" s="210"/>
      <c r="X28" s="226"/>
      <c r="Y28" s="226"/>
      <c r="Z28" s="226"/>
      <c r="AA28" s="226"/>
      <c r="AB28" s="190"/>
      <c r="AC28" s="203"/>
    </row>
    <row r="29" spans="1:29" ht="31.5" customHeight="1">
      <c r="A29" s="510"/>
      <c r="B29" s="512"/>
      <c r="C29" s="495" t="s">
        <v>19</v>
      </c>
      <c r="D29" s="519" t="s">
        <v>22</v>
      </c>
      <c r="E29" s="31"/>
      <c r="F29" s="31"/>
      <c r="G29" s="31"/>
      <c r="H29" s="32">
        <f>32*120</f>
        <v>3840</v>
      </c>
      <c r="I29" s="21"/>
      <c r="J29" s="33">
        <f>$H29*J$6</f>
        <v>1356.288</v>
      </c>
      <c r="K29" s="33">
        <f>$H29*K$6</f>
        <v>1628.9280000000001</v>
      </c>
      <c r="L29" s="33">
        <f>$H29*L$6</f>
        <v>814.07999999999993</v>
      </c>
      <c r="M29" s="33">
        <f>$H29*M$6</f>
        <v>40.704000000000001</v>
      </c>
      <c r="N29" s="34">
        <f>$H29*N$6</f>
        <v>0</v>
      </c>
      <c r="O29" s="21"/>
      <c r="P29" s="450"/>
      <c r="Q29" s="480"/>
      <c r="R29" s="456"/>
      <c r="S29" s="450"/>
      <c r="T29" s="477"/>
      <c r="U29" s="450"/>
      <c r="V29" s="232"/>
      <c r="W29" s="210"/>
      <c r="X29" s="210"/>
      <c r="Y29" s="210"/>
      <c r="Z29" s="210"/>
      <c r="AA29" s="242">
        <v>0.75</v>
      </c>
      <c r="AB29" s="95" t="s">
        <v>32</v>
      </c>
      <c r="AC29" s="203">
        <f>+Q27+AA29+AA30</f>
        <v>24.075581395348838</v>
      </c>
    </row>
    <row r="30" spans="1:29" ht="31.5" customHeight="1" thickBot="1">
      <c r="A30" s="510"/>
      <c r="B30" s="513"/>
      <c r="C30" s="451"/>
      <c r="D30" s="520"/>
      <c r="E30" s="35">
        <f>8*120</f>
        <v>960</v>
      </c>
      <c r="F30" s="22"/>
      <c r="G30" s="22"/>
      <c r="H30" s="22"/>
      <c r="I30" s="21"/>
      <c r="J30" s="36">
        <f t="shared" ref="J30:M31" si="1">$E30*J$3</f>
        <v>441.6</v>
      </c>
      <c r="K30" s="36">
        <f t="shared" si="1"/>
        <v>293.952</v>
      </c>
      <c r="L30" s="36">
        <f t="shared" si="1"/>
        <v>211.2</v>
      </c>
      <c r="M30" s="36">
        <f t="shared" si="1"/>
        <v>13.247999999999999</v>
      </c>
      <c r="N30" s="34"/>
      <c r="O30" s="21"/>
      <c r="P30" s="451"/>
      <c r="Q30" s="481"/>
      <c r="R30" s="457"/>
      <c r="S30" s="451"/>
      <c r="T30" s="478"/>
      <c r="U30" s="451"/>
      <c r="V30" s="234"/>
      <c r="W30" s="230"/>
      <c r="X30" s="230"/>
      <c r="Y30" s="230"/>
      <c r="Z30" s="230"/>
      <c r="AA30" s="84">
        <v>1</v>
      </c>
      <c r="AB30" s="94" t="s">
        <v>31</v>
      </c>
      <c r="AC30" s="203"/>
    </row>
    <row r="31" spans="1:29" ht="21.75" customHeight="1" thickTop="1" thickBot="1">
      <c r="A31" s="63"/>
      <c r="B31" s="511">
        <v>42882</v>
      </c>
      <c r="C31" s="449" t="s">
        <v>16</v>
      </c>
      <c r="D31" s="525" t="s">
        <v>17</v>
      </c>
      <c r="E31" s="527">
        <f>40*120</f>
        <v>4800</v>
      </c>
      <c r="F31" s="529"/>
      <c r="G31" s="531"/>
      <c r="H31" s="533"/>
      <c r="I31" s="448"/>
      <c r="J31" s="523">
        <f t="shared" si="1"/>
        <v>2208</v>
      </c>
      <c r="K31" s="523">
        <f t="shared" si="1"/>
        <v>1469.7600000000002</v>
      </c>
      <c r="L31" s="523">
        <f t="shared" si="1"/>
        <v>1056</v>
      </c>
      <c r="M31" s="523">
        <f t="shared" si="1"/>
        <v>66.239999999999995</v>
      </c>
      <c r="N31" s="535">
        <f>$F32*N$4</f>
        <v>0</v>
      </c>
      <c r="O31" s="448"/>
      <c r="P31" s="449">
        <f>SUM(E31:H34)</f>
        <v>9840</v>
      </c>
      <c r="Q31" s="452">
        <f>P31*R7/D5</f>
        <v>22.88372093023256</v>
      </c>
      <c r="R31" s="455">
        <f>Q31/R7</f>
        <v>0.95348837209302328</v>
      </c>
      <c r="S31" s="449">
        <f>+D5-P31</f>
        <v>480</v>
      </c>
      <c r="T31" s="458">
        <f>S31/D5</f>
        <v>4.6511627906976744E-2</v>
      </c>
      <c r="U31" s="93"/>
      <c r="V31" s="244">
        <v>1.25</v>
      </c>
      <c r="W31" s="237"/>
      <c r="X31" s="237"/>
      <c r="Y31" s="237"/>
      <c r="Z31" s="237"/>
      <c r="AA31" s="238"/>
      <c r="AB31" s="239" t="s">
        <v>27</v>
      </c>
      <c r="AC31" s="203"/>
    </row>
    <row r="32" spans="1:29" ht="21.75" customHeight="1" thickTop="1">
      <c r="A32" s="510" t="s">
        <v>26</v>
      </c>
      <c r="B32" s="512"/>
      <c r="C32" s="467"/>
      <c r="D32" s="526"/>
      <c r="E32" s="528"/>
      <c r="F32" s="530"/>
      <c r="G32" s="532"/>
      <c r="H32" s="534"/>
      <c r="I32" s="448"/>
      <c r="J32" s="524"/>
      <c r="K32" s="524"/>
      <c r="L32" s="524"/>
      <c r="M32" s="524"/>
      <c r="N32" s="536"/>
      <c r="O32" s="448"/>
      <c r="P32" s="450"/>
      <c r="Q32" s="453"/>
      <c r="R32" s="456"/>
      <c r="S32" s="450"/>
      <c r="T32" s="459"/>
      <c r="U32" s="479">
        <f>Q31+Y33</f>
        <v>22.88372093023256</v>
      </c>
      <c r="V32" s="232"/>
      <c r="W32" s="210"/>
      <c r="X32" s="233"/>
      <c r="Y32" s="210"/>
      <c r="Z32" s="210"/>
      <c r="AA32" s="194"/>
      <c r="AB32" s="190"/>
      <c r="AC32" s="203"/>
    </row>
    <row r="33" spans="1:29" ht="27.75" customHeight="1" thickBot="1">
      <c r="A33" s="510"/>
      <c r="B33" s="512"/>
      <c r="C33" s="495" t="s">
        <v>19</v>
      </c>
      <c r="D33" s="493" t="s">
        <v>22</v>
      </c>
      <c r="E33" s="38">
        <f>32*120</f>
        <v>3840</v>
      </c>
      <c r="F33" s="39"/>
      <c r="G33" s="40"/>
      <c r="H33" s="41"/>
      <c r="I33" s="42"/>
      <c r="J33" s="43">
        <f t="shared" ref="J33:M34" si="2">$E33*J$3</f>
        <v>1766.4</v>
      </c>
      <c r="K33" s="43">
        <f t="shared" si="2"/>
        <v>1175.808</v>
      </c>
      <c r="L33" s="43">
        <f t="shared" si="2"/>
        <v>844.8</v>
      </c>
      <c r="M33" s="43">
        <f t="shared" si="2"/>
        <v>52.991999999999997</v>
      </c>
      <c r="N33" s="44">
        <f>$F33*N$4</f>
        <v>0</v>
      </c>
      <c r="O33" s="21"/>
      <c r="P33" s="450"/>
      <c r="Q33" s="453"/>
      <c r="R33" s="456"/>
      <c r="S33" s="450"/>
      <c r="T33" s="459"/>
      <c r="U33" s="480"/>
      <c r="V33" s="232"/>
      <c r="W33" s="210"/>
      <c r="X33" s="226"/>
      <c r="Y33" s="226"/>
      <c r="Z33" s="226"/>
      <c r="AA33" s="226"/>
      <c r="AB33" s="190"/>
      <c r="AC33" s="203">
        <f>+Q31+V31</f>
        <v>24.13372093023256</v>
      </c>
    </row>
    <row r="34" spans="1:29" ht="27.75" customHeight="1" thickTop="1" thickBot="1">
      <c r="A34" s="510"/>
      <c r="B34" s="513"/>
      <c r="C34" s="451"/>
      <c r="D34" s="494"/>
      <c r="E34" s="35">
        <v>1200</v>
      </c>
      <c r="F34" s="22"/>
      <c r="G34" s="22"/>
      <c r="H34" s="22"/>
      <c r="I34" s="21"/>
      <c r="J34" s="43">
        <f t="shared" si="2"/>
        <v>552</v>
      </c>
      <c r="K34" s="43">
        <f t="shared" si="2"/>
        <v>367.44000000000005</v>
      </c>
      <c r="L34" s="43">
        <f t="shared" si="2"/>
        <v>264</v>
      </c>
      <c r="M34" s="43">
        <f t="shared" si="2"/>
        <v>16.559999999999999</v>
      </c>
      <c r="N34" s="45"/>
      <c r="O34" s="21"/>
      <c r="P34" s="451"/>
      <c r="Q34" s="454"/>
      <c r="R34" s="457"/>
      <c r="S34" s="451"/>
      <c r="T34" s="460"/>
      <c r="U34" s="481"/>
      <c r="V34" s="234"/>
      <c r="W34" s="230"/>
      <c r="X34" s="230"/>
      <c r="Y34" s="230"/>
      <c r="Z34" s="230"/>
      <c r="AA34" s="235"/>
      <c r="AB34" s="236"/>
      <c r="AC34" s="203"/>
    </row>
    <row r="35" spans="1:29" ht="31.5" customHeight="1" thickTop="1">
      <c r="A35" s="510" t="s">
        <v>28</v>
      </c>
      <c r="B35" s="521">
        <v>42883</v>
      </c>
      <c r="C35" s="46" t="s">
        <v>16</v>
      </c>
      <c r="D35" s="47"/>
      <c r="E35" s="31"/>
      <c r="F35" s="31"/>
      <c r="G35" s="31"/>
      <c r="H35" s="31"/>
      <c r="I35" s="48"/>
      <c r="J35" s="31"/>
      <c r="K35" s="31"/>
      <c r="L35" s="31"/>
      <c r="M35" s="37"/>
      <c r="N35" s="37"/>
      <c r="O35" s="25"/>
      <c r="P35" s="544"/>
      <c r="Q35" s="544">
        <f>P35*R7/D5</f>
        <v>0</v>
      </c>
      <c r="R35" s="553">
        <f>Q35/R7</f>
        <v>0</v>
      </c>
      <c r="S35" s="544">
        <f>+D5-P35</f>
        <v>10320</v>
      </c>
      <c r="T35" s="565">
        <f>S35/D5</f>
        <v>1</v>
      </c>
      <c r="U35" s="49"/>
      <c r="V35" s="557"/>
      <c r="W35" s="258"/>
      <c r="X35" s="258"/>
      <c r="Y35" s="258"/>
      <c r="Z35" s="258"/>
      <c r="AA35" s="258"/>
      <c r="AB35" s="259"/>
      <c r="AC35" s="203">
        <v>24</v>
      </c>
    </row>
    <row r="36" spans="1:29" ht="31.5" customHeight="1" thickBot="1">
      <c r="A36" s="510"/>
      <c r="B36" s="522"/>
      <c r="C36" s="50" t="s">
        <v>19</v>
      </c>
      <c r="D36" s="51"/>
      <c r="E36" s="52"/>
      <c r="F36" s="52"/>
      <c r="G36" s="52"/>
      <c r="H36" s="52"/>
      <c r="I36" s="53"/>
      <c r="J36" s="44"/>
      <c r="K36" s="44"/>
      <c r="L36" s="44"/>
      <c r="M36" s="44"/>
      <c r="N36" s="44"/>
      <c r="O36" s="23"/>
      <c r="P36" s="545"/>
      <c r="Q36" s="545"/>
      <c r="R36" s="554"/>
      <c r="S36" s="545"/>
      <c r="T36" s="566"/>
      <c r="U36" s="54"/>
      <c r="V36" s="558"/>
      <c r="W36" s="219"/>
      <c r="X36" s="223"/>
      <c r="Y36" s="223"/>
      <c r="Z36" s="220"/>
      <c r="AA36" s="218"/>
      <c r="AB36" s="224"/>
      <c r="AC36" s="203"/>
    </row>
    <row r="37" spans="1:29" ht="15.75" thickTop="1">
      <c r="B37" s="516" t="s">
        <v>36</v>
      </c>
      <c r="C37" s="516"/>
      <c r="D37" s="516"/>
      <c r="J37" s="514">
        <f>SUM(J10:J36)</f>
        <v>21739.103999999999</v>
      </c>
      <c r="K37" s="514">
        <f>SUM(K10:K36)</f>
        <v>15382.596</v>
      </c>
      <c r="L37" s="514">
        <f>SUM(L10:L36)</f>
        <v>12377.196</v>
      </c>
      <c r="M37" s="514">
        <f>SUM(M10:M36)</f>
        <v>661.10399999999993</v>
      </c>
      <c r="N37" s="514">
        <f>SUM(N10:N36)</f>
        <v>219.33600000000004</v>
      </c>
      <c r="Q37" s="83"/>
    </row>
    <row r="38" spans="1:29" ht="21" customHeight="1">
      <c r="B38" s="517"/>
      <c r="C38" s="517"/>
      <c r="D38" s="517"/>
      <c r="E38" s="59">
        <f>SUM(E11:E36)</f>
        <v>10800</v>
      </c>
      <c r="F38" s="60">
        <f>SUM(F10:F36)</f>
        <v>29640</v>
      </c>
      <c r="G38" s="61">
        <f>SUM(G11:G36)</f>
        <v>0</v>
      </c>
      <c r="H38" s="62">
        <f>SUM(H11:H36)</f>
        <v>9720</v>
      </c>
      <c r="I38" s="55"/>
      <c r="J38" s="515"/>
      <c r="K38" s="515"/>
      <c r="L38" s="515"/>
      <c r="M38" s="515"/>
      <c r="N38" s="515"/>
      <c r="O38" s="55">
        <f>SUM(O11:O36)</f>
        <v>0</v>
      </c>
      <c r="Q38" s="79">
        <f>SUM(Q10:Q36)</f>
        <v>116.65116279069767</v>
      </c>
      <c r="R38" s="82"/>
      <c r="T38" s="81" t="s">
        <v>35</v>
      </c>
      <c r="U38" s="80"/>
      <c r="V38" s="79">
        <f>SUM(V10:V36)</f>
        <v>4.25</v>
      </c>
      <c r="W38" s="79">
        <f t="shared" ref="W38:AA38" si="3">SUM(W10:W36)</f>
        <v>0</v>
      </c>
      <c r="X38" s="79">
        <f t="shared" si="3"/>
        <v>4.25</v>
      </c>
      <c r="Y38" s="79">
        <f t="shared" si="3"/>
        <v>8</v>
      </c>
      <c r="Z38" s="79">
        <f t="shared" si="3"/>
        <v>7.5</v>
      </c>
      <c r="AA38" s="79">
        <f t="shared" si="3"/>
        <v>3.75</v>
      </c>
      <c r="AB38" s="55" t="s">
        <v>29</v>
      </c>
    </row>
    <row r="39" spans="1:29" ht="23.25">
      <c r="C39" s="56" t="s">
        <v>30</v>
      </c>
      <c r="D39" s="57"/>
      <c r="E39" s="518">
        <f>E38+F38+G38+H38</f>
        <v>50160</v>
      </c>
      <c r="F39" s="518"/>
      <c r="G39" s="518"/>
      <c r="H39" s="518"/>
      <c r="R39" s="245">
        <f>AVERAGE(R10:R33)</f>
        <v>0.81007751937984507</v>
      </c>
      <c r="U39" s="78"/>
      <c r="V39" s="78"/>
      <c r="W39" s="78"/>
      <c r="X39" s="78"/>
      <c r="Y39" s="77"/>
      <c r="Z39" s="77"/>
      <c r="AA39" s="77"/>
    </row>
    <row r="40" spans="1:29" ht="18.75" customHeight="1">
      <c r="Q40" s="76" t="s">
        <v>34</v>
      </c>
      <c r="S40" s="559">
        <f>J45*J46*J47</f>
        <v>0.80729166666666674</v>
      </c>
      <c r="T40" s="559"/>
      <c r="V40" s="82"/>
    </row>
    <row r="41" spans="1:29" ht="23.25">
      <c r="F41" s="399"/>
      <c r="R41" s="76" t="s">
        <v>33</v>
      </c>
      <c r="U41" s="75">
        <f>V38/E3</f>
        <v>2.5297619047619048E-2</v>
      </c>
      <c r="V41" s="74">
        <f>V38/E4</f>
        <v>2.9513888888888888E-2</v>
      </c>
      <c r="W41" s="74">
        <f>W38/E3</f>
        <v>0</v>
      </c>
      <c r="X41" s="74">
        <f>X38/E4</f>
        <v>2.9513888888888888E-2</v>
      </c>
      <c r="Y41" s="74">
        <f>Y38/E4</f>
        <v>5.5555555555555552E-2</v>
      </c>
      <c r="Z41" s="74">
        <f>Z38/E4</f>
        <v>5.2083333333333336E-2</v>
      </c>
      <c r="AA41" s="74">
        <f>+AA38/E4</f>
        <v>2.6041666666666668E-2</v>
      </c>
    </row>
    <row r="43" spans="1:29">
      <c r="K43" s="70"/>
      <c r="AB43" s="174"/>
    </row>
    <row r="44" spans="1:29">
      <c r="F44" s="72"/>
      <c r="I44" s="5"/>
      <c r="J44"/>
      <c r="T44" s="556"/>
      <c r="U44" s="556"/>
      <c r="V44" s="556"/>
      <c r="AA44" s="245"/>
      <c r="AB44" s="175"/>
    </row>
    <row r="45" spans="1:29" ht="15.75">
      <c r="D45" s="72" t="s">
        <v>103</v>
      </c>
      <c r="E45">
        <v>144</v>
      </c>
      <c r="G45" s="180" t="s">
        <v>70</v>
      </c>
      <c r="H45" s="73"/>
      <c r="J45" s="176">
        <f>+E46/E45</f>
        <v>1</v>
      </c>
      <c r="K45" s="73"/>
    </row>
    <row r="46" spans="1:29" ht="15.75">
      <c r="D46" s="72" t="s">
        <v>69</v>
      </c>
      <c r="E46" s="71">
        <f>E45-W38</f>
        <v>144</v>
      </c>
      <c r="G46" s="180" t="s">
        <v>71</v>
      </c>
      <c r="H46" s="5"/>
      <c r="J46" s="176">
        <f>+E47/E46</f>
        <v>0.83680555555555558</v>
      </c>
      <c r="M46"/>
      <c r="P46"/>
      <c r="Q46"/>
      <c r="R46"/>
      <c r="S46"/>
      <c r="T46" s="555"/>
      <c r="U46" s="555"/>
      <c r="V46" s="555"/>
      <c r="W46"/>
      <c r="X46"/>
      <c r="Y46"/>
      <c r="Z46"/>
      <c r="AA46"/>
    </row>
    <row r="47" spans="1:29" ht="15.75">
      <c r="D47" s="72" t="s">
        <v>68</v>
      </c>
      <c r="E47" s="71">
        <f>+E46-V38-Y38-Z38-AA38</f>
        <v>120.5</v>
      </c>
      <c r="G47" s="180" t="s">
        <v>104</v>
      </c>
      <c r="H47" s="68"/>
      <c r="J47" s="176">
        <f>+E48/E47</f>
        <v>0.96473029045643155</v>
      </c>
      <c r="M47"/>
      <c r="P47"/>
      <c r="Q47"/>
      <c r="R47"/>
      <c r="S47"/>
      <c r="T47"/>
      <c r="U47"/>
      <c r="V47"/>
      <c r="W47"/>
      <c r="X47"/>
      <c r="Y47"/>
      <c r="Z47"/>
      <c r="AA47"/>
    </row>
    <row r="48" spans="1:29">
      <c r="D48" s="72" t="s">
        <v>72</v>
      </c>
      <c r="E48" s="71">
        <f>E47-X38</f>
        <v>116.25</v>
      </c>
      <c r="M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4:28">
      <c r="H49" s="67"/>
      <c r="J49"/>
      <c r="K49"/>
      <c r="L49"/>
      <c r="M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4:28">
      <c r="H50" s="67"/>
      <c r="J50"/>
      <c r="K50"/>
      <c r="L50"/>
      <c r="M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4:28">
      <c r="H51" s="66"/>
      <c r="J51"/>
      <c r="K51"/>
      <c r="L51"/>
      <c r="M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4:28">
      <c r="J52"/>
      <c r="L52" s="73"/>
    </row>
    <row r="53" spans="4:28">
      <c r="J53"/>
    </row>
    <row r="54" spans="4:28" ht="15.75">
      <c r="D54" s="72"/>
      <c r="G54" s="180"/>
      <c r="J54"/>
      <c r="L54" s="73"/>
    </row>
    <row r="55" spans="4:28" ht="18">
      <c r="D55" s="72"/>
      <c r="E55" s="71"/>
      <c r="G55" s="180"/>
      <c r="H55" s="58"/>
      <c r="AB55"/>
    </row>
    <row r="56" spans="4:28" ht="15.75">
      <c r="D56" s="72"/>
      <c r="E56" s="71"/>
      <c r="G56" s="180"/>
      <c r="L56" s="178"/>
    </row>
    <row r="57" spans="4:28">
      <c r="D57" s="72"/>
      <c r="E57" s="71"/>
    </row>
  </sheetData>
  <mergeCells count="174">
    <mergeCell ref="V8:AA8"/>
    <mergeCell ref="F12:F13"/>
    <mergeCell ref="R35:R36"/>
    <mergeCell ref="P35:P36"/>
    <mergeCell ref="T46:V46"/>
    <mergeCell ref="T44:V44"/>
    <mergeCell ref="V35:V36"/>
    <mergeCell ref="S40:T40"/>
    <mergeCell ref="B10:B13"/>
    <mergeCell ref="C10:C11"/>
    <mergeCell ref="C12:C13"/>
    <mergeCell ref="D10:D11"/>
    <mergeCell ref="D12:D13"/>
    <mergeCell ref="F10:F11"/>
    <mergeCell ref="J10:J11"/>
    <mergeCell ref="Q10:Q13"/>
    <mergeCell ref="R10:R13"/>
    <mergeCell ref="U11:U13"/>
    <mergeCell ref="U15:U17"/>
    <mergeCell ref="U23:U26"/>
    <mergeCell ref="S35:S36"/>
    <mergeCell ref="T35:T36"/>
    <mergeCell ref="S10:S13"/>
    <mergeCell ref="T10:T13"/>
    <mergeCell ref="J12:J13"/>
    <mergeCell ref="K12:K13"/>
    <mergeCell ref="L12:L13"/>
    <mergeCell ref="M12:M13"/>
    <mergeCell ref="N12:N13"/>
    <mergeCell ref="P10:P13"/>
    <mergeCell ref="K10:K11"/>
    <mergeCell ref="L10:L11"/>
    <mergeCell ref="M10:M11"/>
    <mergeCell ref="N10:N11"/>
    <mergeCell ref="G3:H3"/>
    <mergeCell ref="G4:H4"/>
    <mergeCell ref="G5:H5"/>
    <mergeCell ref="G6:H6"/>
    <mergeCell ref="R8:R9"/>
    <mergeCell ref="S8:T8"/>
    <mergeCell ref="Q35:Q36"/>
    <mergeCell ref="E8:H8"/>
    <mergeCell ref="U32:U34"/>
    <mergeCell ref="U28:U30"/>
    <mergeCell ref="U19:U21"/>
    <mergeCell ref="J14:J15"/>
    <mergeCell ref="K14:K15"/>
    <mergeCell ref="L14:L15"/>
    <mergeCell ref="M14:M15"/>
    <mergeCell ref="N14:N15"/>
    <mergeCell ref="Q14:Q17"/>
    <mergeCell ref="R14:R17"/>
    <mergeCell ref="S14:S17"/>
    <mergeCell ref="J20:J21"/>
    <mergeCell ref="K20:K21"/>
    <mergeCell ref="L20:L21"/>
    <mergeCell ref="M20:M21"/>
    <mergeCell ref="N20:N21"/>
    <mergeCell ref="N37:N38"/>
    <mergeCell ref="B37:D38"/>
    <mergeCell ref="J37:J38"/>
    <mergeCell ref="K37:K38"/>
    <mergeCell ref="L37:L38"/>
    <mergeCell ref="M37:M38"/>
    <mergeCell ref="E39:H39"/>
    <mergeCell ref="C29:C30"/>
    <mergeCell ref="D29:D30"/>
    <mergeCell ref="B35:B36"/>
    <mergeCell ref="C33:C34"/>
    <mergeCell ref="D33:D34"/>
    <mergeCell ref="J31:J32"/>
    <mergeCell ref="I31:I32"/>
    <mergeCell ref="K31:K32"/>
    <mergeCell ref="C31:C32"/>
    <mergeCell ref="D31:D32"/>
    <mergeCell ref="E31:E32"/>
    <mergeCell ref="F31:F32"/>
    <mergeCell ref="G31:G32"/>
    <mergeCell ref="H31:H32"/>
    <mergeCell ref="L31:L32"/>
    <mergeCell ref="M31:M32"/>
    <mergeCell ref="N31:N32"/>
    <mergeCell ref="B8:B9"/>
    <mergeCell ref="C8:C9"/>
    <mergeCell ref="D8:D9"/>
    <mergeCell ref="O8:O9"/>
    <mergeCell ref="J8:N8"/>
    <mergeCell ref="A11:A13"/>
    <mergeCell ref="A35:A36"/>
    <mergeCell ref="A32:A34"/>
    <mergeCell ref="A23:A26"/>
    <mergeCell ref="A28:A30"/>
    <mergeCell ref="B22:B26"/>
    <mergeCell ref="B27:B30"/>
    <mergeCell ref="B31:B34"/>
    <mergeCell ref="F20:F21"/>
    <mergeCell ref="B18:B21"/>
    <mergeCell ref="A18:A21"/>
    <mergeCell ref="C18:C19"/>
    <mergeCell ref="C20:C21"/>
    <mergeCell ref="D20:D21"/>
    <mergeCell ref="D18:D19"/>
    <mergeCell ref="D14:D15"/>
    <mergeCell ref="C14:C15"/>
    <mergeCell ref="B14:B17"/>
    <mergeCell ref="A14:A17"/>
    <mergeCell ref="T14:T17"/>
    <mergeCell ref="J16:J17"/>
    <mergeCell ref="K16:K17"/>
    <mergeCell ref="L16:L17"/>
    <mergeCell ref="M16:M17"/>
    <mergeCell ref="N16:N17"/>
    <mergeCell ref="P14:P17"/>
    <mergeCell ref="F14:F15"/>
    <mergeCell ref="F18:F19"/>
    <mergeCell ref="Q18:Q21"/>
    <mergeCell ref="R18:R21"/>
    <mergeCell ref="S18:S21"/>
    <mergeCell ref="T18:T21"/>
    <mergeCell ref="P18:P21"/>
    <mergeCell ref="C16:C17"/>
    <mergeCell ref="F16:F17"/>
    <mergeCell ref="C24:C26"/>
    <mergeCell ref="D24:D26"/>
    <mergeCell ref="F24:F25"/>
    <mergeCell ref="J18:J19"/>
    <mergeCell ref="K18:K19"/>
    <mergeCell ref="L18:L19"/>
    <mergeCell ref="M18:M19"/>
    <mergeCell ref="O22:O26"/>
    <mergeCell ref="I14:I17"/>
    <mergeCell ref="I22:I23"/>
    <mergeCell ref="K22:K23"/>
    <mergeCell ref="L22:L23"/>
    <mergeCell ref="M22:M23"/>
    <mergeCell ref="N22:N23"/>
    <mergeCell ref="P22:P26"/>
    <mergeCell ref="D16:D17"/>
    <mergeCell ref="N18:N19"/>
    <mergeCell ref="AB25:AB26"/>
    <mergeCell ref="C27:C28"/>
    <mergeCell ref="D27:D28"/>
    <mergeCell ref="E27:E28"/>
    <mergeCell ref="F27:F28"/>
    <mergeCell ref="H27:H28"/>
    <mergeCell ref="J27:J28"/>
    <mergeCell ref="K24:K25"/>
    <mergeCell ref="L24:L25"/>
    <mergeCell ref="M24:M25"/>
    <mergeCell ref="N24:N25"/>
    <mergeCell ref="R27:R30"/>
    <mergeCell ref="S27:S30"/>
    <mergeCell ref="T27:T30"/>
    <mergeCell ref="Q27:Q30"/>
    <mergeCell ref="Q22:Q26"/>
    <mergeCell ref="J24:J25"/>
    <mergeCell ref="S22:S26"/>
    <mergeCell ref="T22:T26"/>
    <mergeCell ref="C22:C23"/>
    <mergeCell ref="D22:D23"/>
    <mergeCell ref="F22:F23"/>
    <mergeCell ref="J22:J23"/>
    <mergeCell ref="R22:R26"/>
    <mergeCell ref="O31:O32"/>
    <mergeCell ref="P31:P34"/>
    <mergeCell ref="Q31:Q34"/>
    <mergeCell ref="R31:R34"/>
    <mergeCell ref="S31:S34"/>
    <mergeCell ref="T31:T34"/>
    <mergeCell ref="K27:K28"/>
    <mergeCell ref="L27:L28"/>
    <mergeCell ref="M27:M28"/>
    <mergeCell ref="N27:N28"/>
    <mergeCell ref="P27:P3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57"/>
  <sheetViews>
    <sheetView showGridLines="0" zoomScale="80" zoomScaleNormal="80" workbookViewId="0">
      <pane ySplit="9" topLeftCell="A25" activePane="bottomLeft" state="frozen"/>
      <selection activeCell="C1" sqref="C1"/>
      <selection pane="bottomLeft" activeCell="E41" sqref="E41"/>
    </sheetView>
  </sheetViews>
  <sheetFormatPr baseColWidth="10" defaultRowHeight="15"/>
  <cols>
    <col min="1" max="1" width="6" customWidth="1"/>
    <col min="2" max="2" width="10.28515625" customWidth="1"/>
    <col min="4" max="4" width="14.7109375" customWidth="1"/>
    <col min="5" max="7" width="8.5703125" customWidth="1"/>
    <col min="8" max="8" width="9.5703125" customWidth="1"/>
    <col min="9" max="9" width="1.140625" customWidth="1"/>
    <col min="10" max="13" width="9.28515625" style="5" customWidth="1"/>
    <col min="14" max="14" width="9.28515625" customWidth="1"/>
    <col min="15" max="15" width="1.140625" customWidth="1"/>
    <col min="16" max="16" width="8.85546875" style="3" customWidth="1"/>
    <col min="17" max="17" width="9" style="3" customWidth="1"/>
    <col min="18" max="20" width="9.5703125" style="3" customWidth="1"/>
    <col min="21" max="21" width="9" style="3" hidden="1" customWidth="1"/>
    <col min="22" max="27" width="9.85546875" style="3" customWidth="1"/>
    <col min="28" max="28" width="67" style="4" customWidth="1"/>
    <col min="29" max="29" width="6.5703125" customWidth="1"/>
  </cols>
  <sheetData>
    <row r="1" spans="1:29">
      <c r="L1"/>
      <c r="M1"/>
    </row>
    <row r="2" spans="1:29">
      <c r="J2" s="5" t="str">
        <f>J9</f>
        <v>Résine</v>
      </c>
      <c r="K2" s="5" t="str">
        <f>K9</f>
        <v xml:space="preserve">Charge </v>
      </c>
      <c r="L2" t="str">
        <f>L9</f>
        <v>DOP</v>
      </c>
      <c r="M2" t="str">
        <f>M9</f>
        <v>Stab.</v>
      </c>
      <c r="N2" s="5" t="s">
        <v>14</v>
      </c>
      <c r="O2" s="135"/>
      <c r="Q2" s="134"/>
      <c r="S2" s="128"/>
      <c r="T2" s="128"/>
      <c r="U2" s="134"/>
      <c r="V2" s="134"/>
      <c r="W2" s="134"/>
      <c r="X2" s="134"/>
      <c r="Y2" s="134"/>
      <c r="Z2" s="134"/>
      <c r="AA2" s="134"/>
    </row>
    <row r="3" spans="1:29" ht="15.75" customHeight="1">
      <c r="B3" t="s">
        <v>67</v>
      </c>
      <c r="D3" s="170" t="s">
        <v>64</v>
      </c>
      <c r="E3" s="171">
        <v>168</v>
      </c>
      <c r="F3" t="s">
        <v>66</v>
      </c>
      <c r="G3" s="537" t="str">
        <f>E9</f>
        <v>PVC Isolat°</v>
      </c>
      <c r="H3" s="537"/>
      <c r="I3" s="133"/>
      <c r="J3" s="1">
        <v>0.46</v>
      </c>
      <c r="K3" s="2">
        <v>0.30620000000000003</v>
      </c>
      <c r="L3" s="2">
        <v>0.22</v>
      </c>
      <c r="M3" s="2">
        <v>1.38E-2</v>
      </c>
      <c r="N3" s="6"/>
      <c r="O3" s="11"/>
      <c r="P3" s="77"/>
      <c r="Q3" s="132"/>
      <c r="R3" s="7"/>
      <c r="S3" s="128"/>
      <c r="T3" s="128"/>
      <c r="U3" s="132"/>
      <c r="V3" s="132"/>
      <c r="W3" s="132"/>
      <c r="X3" s="132"/>
      <c r="Y3" s="132"/>
      <c r="Z3" s="132"/>
      <c r="AA3" s="132"/>
    </row>
    <row r="4" spans="1:29" ht="15.75" customHeight="1">
      <c r="B4" t="s">
        <v>63</v>
      </c>
      <c r="D4" s="170" t="s">
        <v>82</v>
      </c>
      <c r="E4">
        <v>156</v>
      </c>
      <c r="F4" t="s">
        <v>66</v>
      </c>
      <c r="G4" s="538" t="str">
        <f>F9</f>
        <v>PVC Gris</v>
      </c>
      <c r="H4" s="538"/>
      <c r="I4" s="131"/>
      <c r="J4" s="8">
        <v>0.45</v>
      </c>
      <c r="K4" s="8">
        <v>0.26829999999999998</v>
      </c>
      <c r="L4" s="8">
        <v>0.26790000000000003</v>
      </c>
      <c r="M4" s="8">
        <v>1.38E-2</v>
      </c>
      <c r="N4" s="8">
        <v>7.4000000000000003E-3</v>
      </c>
      <c r="O4" s="130"/>
      <c r="P4" s="128"/>
      <c r="R4" s="128"/>
    </row>
    <row r="5" spans="1:29" ht="15.75" customHeight="1">
      <c r="B5" t="s">
        <v>62</v>
      </c>
      <c r="D5" s="172">
        <v>10320</v>
      </c>
      <c r="E5" t="s">
        <v>61</v>
      </c>
      <c r="G5" s="539" t="str">
        <f>G9</f>
        <v>PVC Gainage</v>
      </c>
      <c r="H5" s="539"/>
      <c r="I5" s="129"/>
      <c r="J5" s="9">
        <v>0.45</v>
      </c>
      <c r="K5" s="9">
        <v>0.26829999999999998</v>
      </c>
      <c r="L5" s="9">
        <v>0.26790000000000003</v>
      </c>
      <c r="M5" s="9">
        <v>1.38E-2</v>
      </c>
      <c r="N5" s="6"/>
      <c r="O5" s="11"/>
      <c r="P5" s="7"/>
      <c r="R5" s="128"/>
      <c r="X5" s="127"/>
    </row>
    <row r="6" spans="1:29" ht="15.75" customHeight="1">
      <c r="D6">
        <f>D5/2</f>
        <v>5160</v>
      </c>
      <c r="E6" t="s">
        <v>83</v>
      </c>
      <c r="G6" s="540" t="str">
        <f>H9</f>
        <v>PVC Bourrage</v>
      </c>
      <c r="H6" s="540"/>
      <c r="I6" s="126"/>
      <c r="J6" s="10">
        <v>0.35320000000000001</v>
      </c>
      <c r="K6" s="10">
        <v>0.42420000000000002</v>
      </c>
      <c r="L6" s="10">
        <v>0.21199999999999999</v>
      </c>
      <c r="M6" s="10">
        <v>1.06E-2</v>
      </c>
      <c r="N6" s="6"/>
      <c r="O6" s="11"/>
      <c r="P6" s="7"/>
      <c r="Q6" s="125"/>
      <c r="R6" s="3">
        <v>12</v>
      </c>
      <c r="T6" s="7"/>
      <c r="U6" s="125"/>
      <c r="V6" s="125"/>
      <c r="W6" s="125"/>
      <c r="X6" s="125"/>
      <c r="Y6" s="125"/>
      <c r="Z6" s="125"/>
      <c r="AA6" s="125"/>
    </row>
    <row r="7" spans="1:29" s="11" customFormat="1">
      <c r="H7" s="12"/>
      <c r="Q7" s="125"/>
      <c r="R7" s="124">
        <v>24</v>
      </c>
      <c r="T7" s="3"/>
      <c r="U7" s="13"/>
      <c r="V7" s="13"/>
      <c r="W7" s="13"/>
      <c r="X7" s="13"/>
      <c r="Y7" s="13"/>
      <c r="Z7" s="13"/>
      <c r="AA7" s="13"/>
      <c r="AB7" s="14"/>
    </row>
    <row r="8" spans="1:29" ht="18.75" customHeight="1">
      <c r="B8" s="505" t="s">
        <v>0</v>
      </c>
      <c r="C8" s="505" t="s">
        <v>1</v>
      </c>
      <c r="D8" s="505" t="s">
        <v>2</v>
      </c>
      <c r="E8" s="509" t="s">
        <v>3</v>
      </c>
      <c r="F8" s="509"/>
      <c r="G8" s="509"/>
      <c r="H8" s="546"/>
      <c r="I8" s="15"/>
      <c r="J8" s="508" t="s">
        <v>4</v>
      </c>
      <c r="K8" s="509"/>
      <c r="L8" s="509"/>
      <c r="M8" s="509"/>
      <c r="N8" s="509"/>
      <c r="O8" s="506"/>
      <c r="P8" s="123" t="s">
        <v>49</v>
      </c>
      <c r="Q8" s="122" t="s">
        <v>48</v>
      </c>
      <c r="R8" s="541" t="s">
        <v>47</v>
      </c>
      <c r="S8" s="568" t="s">
        <v>46</v>
      </c>
      <c r="T8" s="568"/>
      <c r="V8" s="550" t="s">
        <v>33</v>
      </c>
      <c r="W8" s="551"/>
      <c r="X8" s="551"/>
      <c r="Y8" s="551"/>
      <c r="Z8" s="551"/>
      <c r="AA8" s="552"/>
      <c r="AB8" s="121"/>
    </row>
    <row r="9" spans="1:29" ht="35.25" customHeight="1">
      <c r="B9" s="505"/>
      <c r="C9" s="505"/>
      <c r="D9" s="505"/>
      <c r="E9" s="120" t="s">
        <v>6</v>
      </c>
      <c r="F9" s="119" t="s">
        <v>7</v>
      </c>
      <c r="G9" s="118" t="s">
        <v>8</v>
      </c>
      <c r="H9" s="117" t="s">
        <v>9</v>
      </c>
      <c r="I9" s="16"/>
      <c r="J9" s="17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507"/>
      <c r="P9" s="116" t="s">
        <v>45</v>
      </c>
      <c r="Q9" s="116" t="s">
        <v>44</v>
      </c>
      <c r="R9" s="542"/>
      <c r="S9" s="115" t="s">
        <v>43</v>
      </c>
      <c r="T9" s="114" t="s">
        <v>42</v>
      </c>
      <c r="U9" s="64"/>
      <c r="V9" s="204" t="s">
        <v>79</v>
      </c>
      <c r="W9" s="205" t="s">
        <v>40</v>
      </c>
      <c r="X9" s="206" t="s">
        <v>39</v>
      </c>
      <c r="Y9" s="207" t="s">
        <v>75</v>
      </c>
      <c r="Z9" s="208" t="s">
        <v>76</v>
      </c>
      <c r="AA9" s="209" t="s">
        <v>77</v>
      </c>
      <c r="AB9" s="136" t="s">
        <v>5</v>
      </c>
    </row>
    <row r="10" spans="1:29" ht="21" customHeight="1">
      <c r="B10" s="560">
        <v>42884</v>
      </c>
      <c r="C10" s="495" t="s">
        <v>16</v>
      </c>
      <c r="D10" s="137"/>
      <c r="E10" s="19"/>
      <c r="F10" s="569"/>
      <c r="G10" s="19"/>
      <c r="H10" s="19"/>
      <c r="I10" s="138"/>
      <c r="J10" s="570"/>
      <c r="K10" s="570"/>
      <c r="L10" s="570"/>
      <c r="M10" s="570"/>
      <c r="N10" s="570"/>
      <c r="O10" s="21"/>
      <c r="P10" s="495">
        <f>F10+F12</f>
        <v>1740</v>
      </c>
      <c r="Q10" s="572">
        <f>P10*R6/D5</f>
        <v>2.0232558139534884</v>
      </c>
      <c r="R10" s="553">
        <f>Q10/R6</f>
        <v>0.16860465116279069</v>
      </c>
      <c r="S10" s="495">
        <f>D5-P10</f>
        <v>8580</v>
      </c>
      <c r="T10" s="567">
        <f>S10/D5</f>
        <v>0.83139534883720934</v>
      </c>
      <c r="U10" s="113"/>
      <c r="V10" s="112">
        <v>2</v>
      </c>
      <c r="W10" s="216"/>
      <c r="X10" s="216"/>
      <c r="Y10" s="216"/>
      <c r="Z10" s="216"/>
      <c r="AA10" s="217"/>
      <c r="AB10" s="111" t="s">
        <v>50</v>
      </c>
    </row>
    <row r="11" spans="1:29" ht="21" customHeight="1">
      <c r="A11" s="510" t="s">
        <v>15</v>
      </c>
      <c r="B11" s="512"/>
      <c r="C11" s="467"/>
      <c r="D11" s="137"/>
      <c r="E11" s="19"/>
      <c r="F11" s="471"/>
      <c r="G11" s="19"/>
      <c r="H11" s="19"/>
      <c r="I11" s="138"/>
      <c r="J11" s="571"/>
      <c r="K11" s="571"/>
      <c r="L11" s="571"/>
      <c r="M11" s="571"/>
      <c r="N11" s="571"/>
      <c r="O11" s="21"/>
      <c r="P11" s="450"/>
      <c r="Q11" s="503"/>
      <c r="R11" s="573"/>
      <c r="S11" s="450"/>
      <c r="T11" s="477"/>
      <c r="U11" s="564">
        <f>Q10+Y13</f>
        <v>2.0232558139534884</v>
      </c>
      <c r="V11" s="232"/>
      <c r="W11" s="210"/>
      <c r="X11" s="210"/>
      <c r="Y11" s="102">
        <v>8</v>
      </c>
      <c r="Z11" s="102"/>
      <c r="AA11" s="200"/>
      <c r="AB11" s="87" t="s">
        <v>51</v>
      </c>
    </row>
    <row r="12" spans="1:29" ht="21" customHeight="1">
      <c r="A12" s="510"/>
      <c r="B12" s="512"/>
      <c r="C12" s="495" t="s">
        <v>19</v>
      </c>
      <c r="D12" s="493" t="s">
        <v>17</v>
      </c>
      <c r="E12" s="19"/>
      <c r="F12" s="496">
        <v>1740</v>
      </c>
      <c r="G12" s="19"/>
      <c r="H12" s="19"/>
      <c r="I12" s="21"/>
      <c r="J12" s="474">
        <f>$F12*J$4</f>
        <v>783</v>
      </c>
      <c r="K12" s="474">
        <f>$F12*K$4</f>
        <v>466.84199999999998</v>
      </c>
      <c r="L12" s="474">
        <f>$F12*L$4</f>
        <v>466.14600000000007</v>
      </c>
      <c r="M12" s="474">
        <f>$F12*M$4</f>
        <v>24.012</v>
      </c>
      <c r="N12" s="474">
        <f>$F12*N$4</f>
        <v>12.876000000000001</v>
      </c>
      <c r="O12" s="21"/>
      <c r="P12" s="450"/>
      <c r="Q12" s="503"/>
      <c r="R12" s="573"/>
      <c r="S12" s="450"/>
      <c r="T12" s="477"/>
      <c r="U12" s="480"/>
      <c r="V12" s="232"/>
      <c r="W12" s="210"/>
      <c r="X12" s="248"/>
      <c r="Y12" s="210"/>
      <c r="Z12" s="210"/>
      <c r="AA12" s="194"/>
      <c r="AB12" s="140"/>
    </row>
    <row r="13" spans="1:29" ht="21" customHeight="1" thickBot="1">
      <c r="A13" s="510"/>
      <c r="B13" s="513"/>
      <c r="C13" s="451"/>
      <c r="D13" s="494"/>
      <c r="E13" s="22"/>
      <c r="F13" s="497"/>
      <c r="G13" s="22"/>
      <c r="H13" s="22"/>
      <c r="I13" s="23"/>
      <c r="J13" s="501"/>
      <c r="K13" s="501"/>
      <c r="L13" s="501"/>
      <c r="M13" s="501"/>
      <c r="N13" s="501"/>
      <c r="O13" s="23"/>
      <c r="P13" s="451"/>
      <c r="Q13" s="504"/>
      <c r="R13" s="554"/>
      <c r="S13" s="451"/>
      <c r="T13" s="478"/>
      <c r="U13" s="481"/>
      <c r="V13" s="253"/>
      <c r="W13" s="221"/>
      <c r="X13" s="221"/>
      <c r="Y13" s="221"/>
      <c r="Z13" s="221"/>
      <c r="AA13" s="222"/>
      <c r="AB13" s="160"/>
      <c r="AC13" s="71">
        <f>+Q10+V10+Y11</f>
        <v>12.023255813953488</v>
      </c>
    </row>
    <row r="14" spans="1:29" ht="21" customHeight="1" thickTop="1">
      <c r="A14" s="510" t="s">
        <v>21</v>
      </c>
      <c r="B14" s="511">
        <v>42885</v>
      </c>
      <c r="C14" s="449" t="s">
        <v>16</v>
      </c>
      <c r="D14" s="525" t="s">
        <v>22</v>
      </c>
      <c r="E14" s="19"/>
      <c r="F14" s="488">
        <v>2160</v>
      </c>
      <c r="G14" s="19"/>
      <c r="H14" s="19"/>
      <c r="I14" s="491"/>
      <c r="J14" s="490">
        <f>$F14*J$4</f>
        <v>972</v>
      </c>
      <c r="K14" s="490">
        <f>$F14*K$4</f>
        <v>579.52800000000002</v>
      </c>
      <c r="L14" s="490">
        <f>$F14*L$4</f>
        <v>578.6640000000001</v>
      </c>
      <c r="M14" s="490">
        <f>$F14*M$4</f>
        <v>29.808</v>
      </c>
      <c r="N14" s="490">
        <f>$F14*N$4</f>
        <v>15.984</v>
      </c>
      <c r="O14" s="491"/>
      <c r="P14" s="449">
        <f>F14+F16</f>
        <v>4800</v>
      </c>
      <c r="Q14" s="502">
        <f>P14*R7/D5</f>
        <v>11.162790697674419</v>
      </c>
      <c r="R14" s="574">
        <f>Q14/R7</f>
        <v>0.46511627906976744</v>
      </c>
      <c r="S14" s="449">
        <f>+D5-P14</f>
        <v>5520</v>
      </c>
      <c r="T14" s="476">
        <f>S14/D5</f>
        <v>0.53488372093023251</v>
      </c>
      <c r="U14" s="105"/>
      <c r="V14" s="254"/>
      <c r="W14" s="212"/>
      <c r="X14" s="212"/>
      <c r="Y14" s="212"/>
      <c r="Z14" s="212"/>
      <c r="AA14" s="196"/>
      <c r="AB14" s="97"/>
      <c r="AC14" s="71"/>
    </row>
    <row r="15" spans="1:29" ht="21" customHeight="1">
      <c r="A15" s="510"/>
      <c r="B15" s="512"/>
      <c r="C15" s="467"/>
      <c r="D15" s="526"/>
      <c r="E15" s="19"/>
      <c r="F15" s="489"/>
      <c r="G15" s="19"/>
      <c r="H15" s="19"/>
      <c r="I15" s="448"/>
      <c r="J15" s="475"/>
      <c r="K15" s="475"/>
      <c r="L15" s="475"/>
      <c r="M15" s="475"/>
      <c r="N15" s="475"/>
      <c r="O15" s="448"/>
      <c r="P15" s="450"/>
      <c r="Q15" s="503"/>
      <c r="R15" s="573"/>
      <c r="S15" s="450"/>
      <c r="T15" s="477"/>
      <c r="U15" s="564">
        <f>Q14+Y15+Y17</f>
        <v>11.162790697674419</v>
      </c>
      <c r="V15" s="112">
        <v>2</v>
      </c>
      <c r="W15" s="216"/>
      <c r="X15" s="216"/>
      <c r="Y15" s="216"/>
      <c r="Z15" s="216"/>
      <c r="AA15" s="217"/>
      <c r="AB15" s="111" t="s">
        <v>80</v>
      </c>
      <c r="AC15" s="71"/>
    </row>
    <row r="16" spans="1:29" ht="21" customHeight="1">
      <c r="A16" s="510"/>
      <c r="B16" s="512"/>
      <c r="C16" s="495" t="s">
        <v>19</v>
      </c>
      <c r="D16" s="493" t="s">
        <v>17</v>
      </c>
      <c r="E16" s="19"/>
      <c r="F16" s="496">
        <v>2640</v>
      </c>
      <c r="G16" s="19"/>
      <c r="H16" s="19"/>
      <c r="I16" s="448"/>
      <c r="J16" s="474">
        <f>$F16*J$4</f>
        <v>1188</v>
      </c>
      <c r="K16" s="474">
        <f>$F16*K$4</f>
        <v>708.3119999999999</v>
      </c>
      <c r="L16" s="474">
        <f>$F16*L$4</f>
        <v>707.25600000000009</v>
      </c>
      <c r="M16" s="474">
        <f>$F16*M$4</f>
        <v>36.432000000000002</v>
      </c>
      <c r="N16" s="474">
        <f>$F16*N$4</f>
        <v>19.536000000000001</v>
      </c>
      <c r="O16" s="448"/>
      <c r="P16" s="450"/>
      <c r="Q16" s="503"/>
      <c r="R16" s="573"/>
      <c r="S16" s="450"/>
      <c r="T16" s="477"/>
      <c r="U16" s="480"/>
      <c r="V16" s="232"/>
      <c r="W16" s="210"/>
      <c r="X16" s="248"/>
      <c r="Y16" s="248"/>
      <c r="Z16" s="210"/>
      <c r="AA16" s="88">
        <v>3</v>
      </c>
      <c r="AB16" s="143" t="s">
        <v>52</v>
      </c>
      <c r="AC16" s="71"/>
    </row>
    <row r="17" spans="1:29" ht="21" customHeight="1" thickBot="1">
      <c r="A17" s="510"/>
      <c r="B17" s="513"/>
      <c r="C17" s="451"/>
      <c r="D17" s="577"/>
      <c r="E17" s="22"/>
      <c r="F17" s="578"/>
      <c r="G17" s="22"/>
      <c r="H17" s="22"/>
      <c r="I17" s="492"/>
      <c r="J17" s="575"/>
      <c r="K17" s="575"/>
      <c r="L17" s="575"/>
      <c r="M17" s="575"/>
      <c r="N17" s="575"/>
      <c r="O17" s="492"/>
      <c r="P17" s="451"/>
      <c r="Q17" s="504"/>
      <c r="R17" s="554"/>
      <c r="S17" s="451"/>
      <c r="T17" s="478"/>
      <c r="U17" s="481"/>
      <c r="V17" s="234"/>
      <c r="W17" s="230"/>
      <c r="X17" s="230"/>
      <c r="Y17" s="230"/>
      <c r="Z17" s="221"/>
      <c r="AA17" s="84">
        <v>8</v>
      </c>
      <c r="AB17" s="106" t="s">
        <v>53</v>
      </c>
      <c r="AC17" s="71">
        <f>Q14+V15+Y16+Y17+AA16+AA17</f>
        <v>24.162790697674417</v>
      </c>
    </row>
    <row r="18" spans="1:29" ht="21" customHeight="1" thickTop="1" thickBot="1">
      <c r="A18" s="510" t="s">
        <v>23</v>
      </c>
      <c r="B18" s="511">
        <v>42886</v>
      </c>
      <c r="C18" s="449" t="s">
        <v>16</v>
      </c>
      <c r="D18" s="144" t="s">
        <v>22</v>
      </c>
      <c r="E18" s="19"/>
      <c r="F18" s="569"/>
      <c r="G18" s="19"/>
      <c r="H18" s="19"/>
      <c r="I18" s="491"/>
      <c r="J18" s="576">
        <f>$F18*J$4</f>
        <v>0</v>
      </c>
      <c r="K18" s="576">
        <f>$F18*K$4</f>
        <v>0</v>
      </c>
      <c r="L18" s="576">
        <f>$F18*L$4</f>
        <v>0</v>
      </c>
      <c r="M18" s="576">
        <f>$F18*M$4</f>
        <v>0</v>
      </c>
      <c r="N18" s="576">
        <f>$F18*N$4</f>
        <v>0</v>
      </c>
      <c r="O18" s="491"/>
      <c r="P18" s="449">
        <f>F20+G21</f>
        <v>1740</v>
      </c>
      <c r="Q18" s="502">
        <f>P18*R7/D5</f>
        <v>4.0465116279069768</v>
      </c>
      <c r="R18" s="574">
        <f>Q18/R7</f>
        <v>0.16860465116279069</v>
      </c>
      <c r="S18" s="449">
        <f>+D5-P18</f>
        <v>8580</v>
      </c>
      <c r="T18" s="476">
        <f>S18/D5</f>
        <v>0.83139534883720934</v>
      </c>
      <c r="U18" s="105"/>
      <c r="V18" s="254"/>
      <c r="W18" s="212"/>
      <c r="X18" s="212"/>
      <c r="Y18" s="212"/>
      <c r="Z18" s="212"/>
      <c r="AA18" s="212"/>
      <c r="AB18" s="97"/>
      <c r="AC18" s="71"/>
    </row>
    <row r="19" spans="1:29" ht="21" customHeight="1" thickTop="1">
      <c r="A19" s="510"/>
      <c r="B19" s="512"/>
      <c r="C19" s="467"/>
      <c r="D19" s="137"/>
      <c r="E19" s="19"/>
      <c r="F19" s="471"/>
      <c r="G19" s="19"/>
      <c r="H19" s="19"/>
      <c r="I19" s="448"/>
      <c r="J19" s="571"/>
      <c r="K19" s="571"/>
      <c r="L19" s="571"/>
      <c r="M19" s="571"/>
      <c r="N19" s="571"/>
      <c r="O19" s="448"/>
      <c r="P19" s="450"/>
      <c r="Q19" s="503"/>
      <c r="R19" s="573"/>
      <c r="S19" s="450"/>
      <c r="T19" s="477"/>
      <c r="U19" s="547"/>
      <c r="V19" s="232"/>
      <c r="W19" s="210"/>
      <c r="X19" s="248"/>
      <c r="Y19" s="248"/>
      <c r="Z19" s="210"/>
      <c r="AA19" s="210"/>
      <c r="AB19" s="90"/>
      <c r="AC19" s="71"/>
    </row>
    <row r="20" spans="1:29" ht="30.75" customHeight="1">
      <c r="A20" s="510"/>
      <c r="B20" s="512"/>
      <c r="C20" s="495" t="s">
        <v>19</v>
      </c>
      <c r="D20" s="493" t="s">
        <v>17</v>
      </c>
      <c r="E20" s="19"/>
      <c r="F20" s="145">
        <v>540</v>
      </c>
      <c r="G20" s="19"/>
      <c r="H20" s="19"/>
      <c r="I20" s="448"/>
      <c r="J20" s="146">
        <f>$F20*J$4</f>
        <v>243</v>
      </c>
      <c r="K20" s="146">
        <f>$F20*K$4</f>
        <v>144.88200000000001</v>
      </c>
      <c r="L20" s="146">
        <f>$F20*L$4</f>
        <v>144.66600000000003</v>
      </c>
      <c r="M20" s="146">
        <f>$F20*M$4</f>
        <v>7.452</v>
      </c>
      <c r="N20" s="146">
        <f>$F20*N$4</f>
        <v>3.996</v>
      </c>
      <c r="O20" s="448"/>
      <c r="P20" s="450"/>
      <c r="Q20" s="503"/>
      <c r="R20" s="573"/>
      <c r="S20" s="450"/>
      <c r="T20" s="477"/>
      <c r="U20" s="548"/>
      <c r="V20" s="232"/>
      <c r="W20" s="210"/>
      <c r="X20" s="248"/>
      <c r="Y20" s="248"/>
      <c r="Z20" s="210"/>
      <c r="AA20" s="88">
        <v>12</v>
      </c>
      <c r="AB20" s="143" t="s">
        <v>54</v>
      </c>
      <c r="AC20" s="71"/>
    </row>
    <row r="21" spans="1:29" ht="30.75" customHeight="1" thickBot="1">
      <c r="A21" s="510"/>
      <c r="B21" s="513"/>
      <c r="C21" s="451"/>
      <c r="D21" s="494"/>
      <c r="E21" s="22"/>
      <c r="F21" s="22"/>
      <c r="G21" s="147">
        <v>1200</v>
      </c>
      <c r="H21" s="22"/>
      <c r="I21" s="492"/>
      <c r="J21" s="148">
        <f>$G21*J$5</f>
        <v>540</v>
      </c>
      <c r="K21" s="149">
        <f t="shared" ref="K21:M21" si="0">$G21*K$5</f>
        <v>321.95999999999998</v>
      </c>
      <c r="L21" s="149">
        <f t="shared" si="0"/>
        <v>321.48</v>
      </c>
      <c r="M21" s="149">
        <f t="shared" si="0"/>
        <v>16.559999999999999</v>
      </c>
      <c r="N21" s="150"/>
      <c r="O21" s="492"/>
      <c r="P21" s="451"/>
      <c r="Q21" s="504"/>
      <c r="R21" s="554"/>
      <c r="S21" s="451"/>
      <c r="T21" s="478"/>
      <c r="U21" s="549"/>
      <c r="V21" s="234"/>
      <c r="W21" s="230"/>
      <c r="X21" s="230"/>
      <c r="Y21" s="230"/>
      <c r="Z21" s="213"/>
      <c r="AA21" s="107">
        <v>8</v>
      </c>
      <c r="AB21" s="106" t="s">
        <v>55</v>
      </c>
      <c r="AC21" s="71">
        <f>SUM(V18:AA21)+Q18</f>
        <v>24.046511627906977</v>
      </c>
    </row>
    <row r="22" spans="1:29" ht="21" customHeight="1" thickTop="1" thickBot="1">
      <c r="A22" s="63"/>
      <c r="B22" s="511">
        <v>42887</v>
      </c>
      <c r="C22" s="449" t="s">
        <v>16</v>
      </c>
      <c r="D22" s="525" t="s">
        <v>22</v>
      </c>
      <c r="E22" s="19"/>
      <c r="F22" s="19"/>
      <c r="G22" s="579">
        <v>4920</v>
      </c>
      <c r="H22" s="19"/>
      <c r="I22" s="491"/>
      <c r="J22" s="581">
        <f t="shared" ref="J22:M26" si="1">$G22*J$5</f>
        <v>2214</v>
      </c>
      <c r="K22" s="581">
        <f t="shared" si="1"/>
        <v>1320.0359999999998</v>
      </c>
      <c r="L22" s="581">
        <f t="shared" si="1"/>
        <v>1318.0680000000002</v>
      </c>
      <c r="M22" s="581">
        <f t="shared" si="1"/>
        <v>67.896000000000001</v>
      </c>
      <c r="N22" s="576"/>
      <c r="O22" s="491"/>
      <c r="P22" s="449">
        <f>SUM(E22:H25)</f>
        <v>9480</v>
      </c>
      <c r="Q22" s="482">
        <f>P22*R7/D5</f>
        <v>22.046511627906977</v>
      </c>
      <c r="R22" s="574">
        <f>Q22/R7</f>
        <v>0.91860465116279066</v>
      </c>
      <c r="S22" s="449">
        <f>+D5-P22</f>
        <v>840</v>
      </c>
      <c r="T22" s="485">
        <f>S22/D5</f>
        <v>8.1395348837209308E-2</v>
      </c>
      <c r="U22" s="104"/>
      <c r="V22" s="254"/>
      <c r="W22" s="212"/>
      <c r="X22" s="212"/>
      <c r="Y22" s="212"/>
      <c r="Z22" s="212"/>
      <c r="AA22" s="212"/>
      <c r="AB22" s="103"/>
      <c r="AC22" s="71"/>
    </row>
    <row r="23" spans="1:29" ht="21" customHeight="1" thickTop="1">
      <c r="A23" s="510" t="s">
        <v>24</v>
      </c>
      <c r="B23" s="498"/>
      <c r="C23" s="467"/>
      <c r="D23" s="526"/>
      <c r="E23" s="19"/>
      <c r="F23" s="19"/>
      <c r="G23" s="580"/>
      <c r="H23" s="19"/>
      <c r="I23" s="448"/>
      <c r="J23" s="582"/>
      <c r="K23" s="582"/>
      <c r="L23" s="582"/>
      <c r="M23" s="582"/>
      <c r="N23" s="585"/>
      <c r="O23" s="448"/>
      <c r="P23" s="450"/>
      <c r="Q23" s="483"/>
      <c r="R23" s="573"/>
      <c r="S23" s="450"/>
      <c r="T23" s="486"/>
      <c r="U23" s="482">
        <f>Q22+Y23+Y25</f>
        <v>22.046511627906977</v>
      </c>
      <c r="V23" s="232"/>
      <c r="W23" s="210"/>
      <c r="X23" s="206">
        <v>1</v>
      </c>
      <c r="Y23" s="206"/>
      <c r="Z23" s="206"/>
      <c r="AA23" s="206"/>
      <c r="AB23" s="256" t="s">
        <v>81</v>
      </c>
      <c r="AC23" s="71"/>
    </row>
    <row r="24" spans="1:29" ht="21" customHeight="1" thickBot="1">
      <c r="A24" s="510"/>
      <c r="B24" s="498"/>
      <c r="C24" s="495" t="s">
        <v>19</v>
      </c>
      <c r="D24" s="493" t="s">
        <v>17</v>
      </c>
      <c r="E24" s="19"/>
      <c r="F24" s="19"/>
      <c r="G24" s="583">
        <v>4560</v>
      </c>
      <c r="H24" s="19"/>
      <c r="I24" s="21"/>
      <c r="J24" s="584">
        <f t="shared" si="1"/>
        <v>2052</v>
      </c>
      <c r="K24" s="584">
        <f t="shared" si="1"/>
        <v>1223.4479999999999</v>
      </c>
      <c r="L24" s="584">
        <f t="shared" si="1"/>
        <v>1221.624</v>
      </c>
      <c r="M24" s="584">
        <f t="shared" si="1"/>
        <v>62.927999999999997</v>
      </c>
      <c r="N24" s="44"/>
      <c r="O24" s="448"/>
      <c r="P24" s="450"/>
      <c r="Q24" s="483"/>
      <c r="R24" s="573"/>
      <c r="S24" s="450"/>
      <c r="T24" s="486"/>
      <c r="U24" s="483"/>
      <c r="V24" s="232"/>
      <c r="W24" s="210"/>
      <c r="X24" s="233"/>
      <c r="Y24" s="233"/>
      <c r="Z24" s="233"/>
      <c r="AA24" s="233"/>
      <c r="AB24" s="90"/>
      <c r="AC24" s="71"/>
    </row>
    <row r="25" spans="1:29" ht="21" customHeight="1" thickTop="1" thickBot="1">
      <c r="A25" s="510"/>
      <c r="B25" s="498"/>
      <c r="C25" s="498"/>
      <c r="D25" s="494"/>
      <c r="E25" s="19"/>
      <c r="F25" s="19"/>
      <c r="G25" s="580"/>
      <c r="H25" s="19"/>
      <c r="I25" s="21"/>
      <c r="J25" s="582"/>
      <c r="K25" s="582"/>
      <c r="L25" s="582"/>
      <c r="M25" s="582"/>
      <c r="N25" s="150"/>
      <c r="O25" s="448"/>
      <c r="P25" s="450"/>
      <c r="Q25" s="483"/>
      <c r="R25" s="573"/>
      <c r="S25" s="450"/>
      <c r="T25" s="486"/>
      <c r="U25" s="483"/>
      <c r="V25" s="232"/>
      <c r="W25" s="210"/>
      <c r="X25" s="230"/>
      <c r="Y25" s="230"/>
      <c r="Z25" s="213"/>
      <c r="AA25" s="109">
        <v>1</v>
      </c>
      <c r="AB25" s="151" t="s">
        <v>56</v>
      </c>
      <c r="AC25" s="71">
        <f>SUM(V22:AA25)+Q22</f>
        <v>24.046511627906977</v>
      </c>
    </row>
    <row r="26" spans="1:29" ht="21" customHeight="1" thickTop="1" thickBot="1">
      <c r="A26" s="63"/>
      <c r="B26" s="511">
        <v>42888</v>
      </c>
      <c r="C26" s="449" t="s">
        <v>16</v>
      </c>
      <c r="D26" s="525" t="s">
        <v>22</v>
      </c>
      <c r="E26" s="470"/>
      <c r="F26" s="470"/>
      <c r="G26" s="579">
        <f>41*120</f>
        <v>4920</v>
      </c>
      <c r="H26" s="470"/>
      <c r="I26" s="21"/>
      <c r="J26" s="586">
        <f t="shared" si="1"/>
        <v>2214</v>
      </c>
      <c r="K26" s="586">
        <f t="shared" si="1"/>
        <v>1320.0359999999998</v>
      </c>
      <c r="L26" s="586">
        <f t="shared" si="1"/>
        <v>1318.0680000000002</v>
      </c>
      <c r="M26" s="586">
        <f t="shared" si="1"/>
        <v>67.896000000000001</v>
      </c>
      <c r="N26" s="576"/>
      <c r="O26" s="99"/>
      <c r="P26" s="449">
        <f>SUM(E26:H29)</f>
        <v>10200</v>
      </c>
      <c r="Q26" s="479">
        <f>P26*R7/D5</f>
        <v>23.720930232558139</v>
      </c>
      <c r="R26" s="455">
        <f>Q26/R7</f>
        <v>0.98837209302325579</v>
      </c>
      <c r="S26" s="449">
        <f>+D5-P26</f>
        <v>120</v>
      </c>
      <c r="T26" s="476">
        <f>S26/D5</f>
        <v>1.1627906976744186E-2</v>
      </c>
      <c r="U26" s="98"/>
      <c r="V26" s="243">
        <v>0.25</v>
      </c>
      <c r="W26" s="237"/>
      <c r="X26" s="237"/>
      <c r="Y26" s="237"/>
      <c r="Z26" s="237"/>
      <c r="AA26" s="238"/>
      <c r="AB26" s="252" t="s">
        <v>57</v>
      </c>
      <c r="AC26" s="71"/>
    </row>
    <row r="27" spans="1:29" ht="21" customHeight="1" thickTop="1">
      <c r="A27" s="510" t="s">
        <v>25</v>
      </c>
      <c r="B27" s="512"/>
      <c r="C27" s="467"/>
      <c r="D27" s="526"/>
      <c r="E27" s="471"/>
      <c r="F27" s="471"/>
      <c r="G27" s="580"/>
      <c r="H27" s="471"/>
      <c r="I27" s="21"/>
      <c r="J27" s="587"/>
      <c r="K27" s="587"/>
      <c r="L27" s="587"/>
      <c r="M27" s="587"/>
      <c r="N27" s="585"/>
      <c r="O27" s="21"/>
      <c r="P27" s="450"/>
      <c r="Q27" s="480"/>
      <c r="R27" s="456"/>
      <c r="S27" s="450"/>
      <c r="T27" s="477"/>
      <c r="U27" s="479">
        <f>Y27+Y29+Q26</f>
        <v>23.720930232558139</v>
      </c>
      <c r="V27" s="232"/>
      <c r="W27" s="210"/>
      <c r="X27" s="210"/>
      <c r="Y27" s="210"/>
      <c r="Z27" s="210"/>
      <c r="AA27" s="194"/>
      <c r="AB27" s="190"/>
      <c r="AC27" s="71"/>
    </row>
    <row r="28" spans="1:29" ht="28.5" customHeight="1">
      <c r="A28" s="510"/>
      <c r="B28" s="512"/>
      <c r="C28" s="495" t="s">
        <v>19</v>
      </c>
      <c r="D28" s="493" t="s">
        <v>17</v>
      </c>
      <c r="E28" s="31"/>
      <c r="F28" s="31"/>
      <c r="G28" s="152">
        <f>33*120</f>
        <v>3960</v>
      </c>
      <c r="H28" s="31"/>
      <c r="I28" s="21"/>
      <c r="J28" s="153">
        <f>F29*J5</f>
        <v>594</v>
      </c>
      <c r="K28" s="153">
        <f>G28*K5</f>
        <v>1062.4679999999998</v>
      </c>
      <c r="L28" s="153">
        <f>G28*L5</f>
        <v>1060.884</v>
      </c>
      <c r="M28" s="153">
        <f>G28*M5</f>
        <v>54.647999999999996</v>
      </c>
      <c r="N28" s="154"/>
      <c r="O28" s="21"/>
      <c r="P28" s="450"/>
      <c r="Q28" s="480"/>
      <c r="R28" s="456"/>
      <c r="S28" s="450"/>
      <c r="T28" s="477"/>
      <c r="U28" s="450"/>
      <c r="V28" s="232"/>
      <c r="W28" s="210"/>
      <c r="X28" s="210"/>
      <c r="Y28" s="210"/>
      <c r="Z28" s="210"/>
      <c r="AA28" s="194"/>
      <c r="AB28" s="190"/>
      <c r="AC28" s="71">
        <f>SUM(V26:AA29)+Q26</f>
        <v>23.970930232558139</v>
      </c>
    </row>
    <row r="29" spans="1:29" ht="28.5" customHeight="1" thickBot="1">
      <c r="A29" s="510"/>
      <c r="B29" s="513"/>
      <c r="C29" s="451"/>
      <c r="D29" s="494"/>
      <c r="E29" s="22"/>
      <c r="F29" s="20">
        <f>11*120</f>
        <v>1320</v>
      </c>
      <c r="G29" s="22"/>
      <c r="H29" s="22"/>
      <c r="I29" s="21"/>
      <c r="J29" s="24">
        <f>F29*J4</f>
        <v>594</v>
      </c>
      <c r="K29" s="24">
        <f>F29*K4</f>
        <v>354.15599999999995</v>
      </c>
      <c r="L29" s="24">
        <f>F29*L4</f>
        <v>353.62800000000004</v>
      </c>
      <c r="M29" s="24">
        <f>F29*M4</f>
        <v>18.216000000000001</v>
      </c>
      <c r="N29" s="155">
        <f>F29*N4</f>
        <v>9.7680000000000007</v>
      </c>
      <c r="O29" s="21"/>
      <c r="P29" s="451"/>
      <c r="Q29" s="481"/>
      <c r="R29" s="457"/>
      <c r="S29" s="451"/>
      <c r="T29" s="478"/>
      <c r="U29" s="451"/>
      <c r="V29" s="234"/>
      <c r="W29" s="230"/>
      <c r="X29" s="230"/>
      <c r="Y29" s="230"/>
      <c r="Z29" s="230"/>
      <c r="AA29" s="235"/>
      <c r="AB29" s="255"/>
      <c r="AC29" s="71"/>
    </row>
    <row r="30" spans="1:29" ht="21" customHeight="1" thickTop="1" thickBot="1">
      <c r="A30" s="63"/>
      <c r="B30" s="511">
        <v>42889</v>
      </c>
      <c r="C30" s="449" t="s">
        <v>16</v>
      </c>
      <c r="D30" s="525" t="s">
        <v>22</v>
      </c>
      <c r="E30" s="531"/>
      <c r="F30" s="588">
        <v>5640</v>
      </c>
      <c r="G30" s="531"/>
      <c r="H30" s="533"/>
      <c r="I30" s="448"/>
      <c r="J30" s="490">
        <f>$F30*J$4</f>
        <v>2538</v>
      </c>
      <c r="K30" s="490">
        <f>$F30*K$4</f>
        <v>1513.212</v>
      </c>
      <c r="L30" s="490">
        <f>$F30*L$4</f>
        <v>1510.9560000000001</v>
      </c>
      <c r="M30" s="490">
        <f>$F30*M$4</f>
        <v>77.831999999999994</v>
      </c>
      <c r="N30" s="490">
        <f>$F30*N$4</f>
        <v>41.736000000000004</v>
      </c>
      <c r="O30" s="448"/>
      <c r="P30" s="449">
        <f>SUM(E30:H33)</f>
        <v>11040</v>
      </c>
      <c r="Q30" s="479">
        <f>P30*R7/D5</f>
        <v>25.674418604651162</v>
      </c>
      <c r="R30" s="455">
        <f>Q30/R7</f>
        <v>1.069767441860465</v>
      </c>
      <c r="S30" s="449">
        <f>+D5-P30</f>
        <v>-720</v>
      </c>
      <c r="T30" s="458">
        <f>S30/D5</f>
        <v>-6.9767441860465115E-2</v>
      </c>
      <c r="U30" s="93"/>
      <c r="V30" s="254"/>
      <c r="W30" s="212"/>
      <c r="X30" s="212"/>
      <c r="Y30" s="142"/>
      <c r="Z30" s="142"/>
      <c r="AA30" s="156"/>
      <c r="AB30" s="91"/>
      <c r="AC30" s="71"/>
    </row>
    <row r="31" spans="1:29" ht="21" customHeight="1" thickTop="1">
      <c r="A31" s="510" t="s">
        <v>26</v>
      </c>
      <c r="B31" s="512"/>
      <c r="C31" s="467"/>
      <c r="D31" s="526"/>
      <c r="E31" s="532"/>
      <c r="F31" s="589"/>
      <c r="G31" s="532"/>
      <c r="H31" s="534"/>
      <c r="I31" s="448"/>
      <c r="J31" s="475"/>
      <c r="K31" s="475"/>
      <c r="L31" s="475"/>
      <c r="M31" s="475"/>
      <c r="N31" s="475"/>
      <c r="O31" s="448"/>
      <c r="P31" s="450"/>
      <c r="Q31" s="480"/>
      <c r="R31" s="456"/>
      <c r="S31" s="450"/>
      <c r="T31" s="459"/>
      <c r="U31" s="479">
        <f>Q30+Y32</f>
        <v>25.674418604651162</v>
      </c>
      <c r="V31" s="232"/>
      <c r="W31" s="210"/>
      <c r="X31" s="249"/>
      <c r="Y31" s="139"/>
      <c r="Z31" s="139"/>
      <c r="AA31" s="157"/>
      <c r="AB31" s="90"/>
      <c r="AC31" s="71"/>
    </row>
    <row r="32" spans="1:29" ht="21" customHeight="1">
      <c r="A32" s="510"/>
      <c r="B32" s="512"/>
      <c r="C32" s="495" t="s">
        <v>19</v>
      </c>
      <c r="D32" s="493" t="s">
        <v>17</v>
      </c>
      <c r="E32" s="40"/>
      <c r="F32" s="496">
        <f>45*120</f>
        <v>5400</v>
      </c>
      <c r="G32" s="40"/>
      <c r="H32" s="41"/>
      <c r="I32" s="42"/>
      <c r="J32" s="474">
        <f>$F32*J$4</f>
        <v>2430</v>
      </c>
      <c r="K32" s="474">
        <f>$F32*K$4</f>
        <v>1448.82</v>
      </c>
      <c r="L32" s="474">
        <f>$F32*L$4</f>
        <v>1446.66</v>
      </c>
      <c r="M32" s="474">
        <f>$F32*M$4</f>
        <v>74.52</v>
      </c>
      <c r="N32" s="474">
        <f>$F32*N$4</f>
        <v>39.96</v>
      </c>
      <c r="O32" s="21"/>
      <c r="P32" s="450"/>
      <c r="Q32" s="480"/>
      <c r="R32" s="456"/>
      <c r="S32" s="450"/>
      <c r="T32" s="459"/>
      <c r="U32" s="480"/>
      <c r="V32" s="232"/>
      <c r="W32" s="210"/>
      <c r="X32" s="210"/>
      <c r="Y32" s="139"/>
      <c r="Z32" s="139"/>
      <c r="AA32" s="157"/>
      <c r="AB32" s="90"/>
      <c r="AC32" s="71">
        <f>+Q30+X32</f>
        <v>25.674418604651162</v>
      </c>
    </row>
    <row r="33" spans="1:29" ht="21" customHeight="1" thickBot="1">
      <c r="A33" s="510"/>
      <c r="B33" s="513"/>
      <c r="C33" s="451"/>
      <c r="D33" s="494"/>
      <c r="E33" s="22"/>
      <c r="F33" s="578"/>
      <c r="G33" s="22"/>
      <c r="H33" s="22"/>
      <c r="I33" s="158"/>
      <c r="J33" s="575"/>
      <c r="K33" s="575"/>
      <c r="L33" s="575"/>
      <c r="M33" s="575"/>
      <c r="N33" s="575"/>
      <c r="O33" s="21"/>
      <c r="P33" s="451"/>
      <c r="Q33" s="481"/>
      <c r="R33" s="457"/>
      <c r="S33" s="451"/>
      <c r="T33" s="460"/>
      <c r="U33" s="481"/>
      <c r="V33" s="234"/>
      <c r="W33" s="230"/>
      <c r="X33" s="230"/>
      <c r="Y33" s="85"/>
      <c r="Z33" s="85"/>
      <c r="AA33" s="159"/>
      <c r="AB33" s="160"/>
      <c r="AC33" s="71"/>
    </row>
    <row r="34" spans="1:29" ht="21" customHeight="1" thickTop="1" thickBot="1">
      <c r="A34" s="63"/>
      <c r="B34" s="521">
        <v>42890</v>
      </c>
      <c r="C34" s="544" t="s">
        <v>16</v>
      </c>
      <c r="D34" s="525" t="s">
        <v>22</v>
      </c>
      <c r="E34" s="100"/>
      <c r="F34" s="488">
        <f>40*120</f>
        <v>4800</v>
      </c>
      <c r="G34" s="100"/>
      <c r="H34" s="100"/>
      <c r="I34" s="21"/>
      <c r="J34" s="490">
        <f>$F34*J$4</f>
        <v>2160</v>
      </c>
      <c r="K34" s="490">
        <f>$F34*K$4</f>
        <v>1287.8399999999999</v>
      </c>
      <c r="L34" s="490">
        <f>$F34*L$4</f>
        <v>1285.92</v>
      </c>
      <c r="M34" s="490">
        <f>$F34*M$4</f>
        <v>66.239999999999995</v>
      </c>
      <c r="N34" s="490">
        <f>$F34*N$4</f>
        <v>35.520000000000003</v>
      </c>
      <c r="O34" s="21"/>
      <c r="P34" s="449">
        <f>SUM(E34:H37)</f>
        <v>8640</v>
      </c>
      <c r="Q34" s="544">
        <f>P34*R7/D5</f>
        <v>20.093023255813954</v>
      </c>
      <c r="R34" s="574">
        <f>Q34/R7</f>
        <v>0.83720930232558144</v>
      </c>
      <c r="S34" s="544">
        <f>+D5-P34</f>
        <v>1680</v>
      </c>
      <c r="T34" s="565">
        <f>+S34/D5</f>
        <v>0.16279069767441862</v>
      </c>
      <c r="U34" s="161"/>
      <c r="V34" s="112">
        <v>3</v>
      </c>
      <c r="W34" s="237"/>
      <c r="X34" s="237"/>
      <c r="Y34" s="237"/>
      <c r="Z34" s="250"/>
      <c r="AA34" s="251"/>
      <c r="AB34" s="111" t="s">
        <v>58</v>
      </c>
      <c r="AC34" s="71"/>
    </row>
    <row r="35" spans="1:29" ht="21" customHeight="1" thickTop="1">
      <c r="A35" s="510" t="s">
        <v>28</v>
      </c>
      <c r="B35" s="593"/>
      <c r="C35" s="594"/>
      <c r="D35" s="526"/>
      <c r="E35" s="31"/>
      <c r="F35" s="489"/>
      <c r="G35" s="31"/>
      <c r="H35" s="31"/>
      <c r="I35" s="162"/>
      <c r="J35" s="475"/>
      <c r="K35" s="475"/>
      <c r="L35" s="475"/>
      <c r="M35" s="475"/>
      <c r="N35" s="475"/>
      <c r="O35" s="25"/>
      <c r="P35" s="450"/>
      <c r="Q35" s="590"/>
      <c r="R35" s="573"/>
      <c r="S35" s="590"/>
      <c r="T35" s="591"/>
      <c r="U35" s="49"/>
      <c r="V35" s="89"/>
      <c r="W35" s="210"/>
      <c r="X35" s="249"/>
      <c r="Y35" s="139"/>
      <c r="Z35" s="139"/>
      <c r="AA35" s="157"/>
      <c r="AB35" s="90"/>
      <c r="AC35" s="71"/>
    </row>
    <row r="36" spans="1:29" ht="21" customHeight="1">
      <c r="A36" s="510"/>
      <c r="B36" s="593"/>
      <c r="C36" s="592" t="s">
        <v>19</v>
      </c>
      <c r="D36" s="493" t="s">
        <v>17</v>
      </c>
      <c r="E36" s="100"/>
      <c r="F36" s="496">
        <f>32*120</f>
        <v>3840</v>
      </c>
      <c r="G36" s="100"/>
      <c r="H36" s="100"/>
      <c r="I36" s="162"/>
      <c r="J36" s="474">
        <f>$F36*J$4</f>
        <v>1728</v>
      </c>
      <c r="K36" s="474">
        <f>$F36*K$4</f>
        <v>1030.2719999999999</v>
      </c>
      <c r="L36" s="474">
        <f>$F36*L$4</f>
        <v>1028.7360000000001</v>
      </c>
      <c r="M36" s="474">
        <f>$F36*M$4</f>
        <v>52.991999999999997</v>
      </c>
      <c r="N36" s="474">
        <f>$F36*N$4</f>
        <v>28.416</v>
      </c>
      <c r="O36" s="21"/>
      <c r="P36" s="450"/>
      <c r="Q36" s="590"/>
      <c r="R36" s="573"/>
      <c r="S36" s="590"/>
      <c r="T36" s="591"/>
      <c r="U36" s="163"/>
      <c r="V36" s="89"/>
      <c r="W36" s="210"/>
      <c r="X36" s="206">
        <v>1</v>
      </c>
      <c r="Y36" s="206"/>
      <c r="Z36" s="206"/>
      <c r="AA36" s="206"/>
      <c r="AB36" s="256" t="s">
        <v>81</v>
      </c>
      <c r="AC36" s="71">
        <f>Q34+V34+X36</f>
        <v>24.093023255813954</v>
      </c>
    </row>
    <row r="37" spans="1:29" ht="21" customHeight="1" thickBot="1">
      <c r="A37" s="510"/>
      <c r="B37" s="522"/>
      <c r="C37" s="545"/>
      <c r="D37" s="494"/>
      <c r="E37" s="52"/>
      <c r="F37" s="489"/>
      <c r="G37" s="52"/>
      <c r="H37" s="52"/>
      <c r="I37" s="53"/>
      <c r="J37" s="575"/>
      <c r="K37" s="575"/>
      <c r="L37" s="575"/>
      <c r="M37" s="575"/>
      <c r="N37" s="575"/>
      <c r="O37" s="23"/>
      <c r="P37" s="451"/>
      <c r="Q37" s="545"/>
      <c r="R37" s="554"/>
      <c r="S37" s="545"/>
      <c r="T37" s="566"/>
      <c r="U37" s="54"/>
      <c r="V37" s="86"/>
      <c r="W37" s="230"/>
      <c r="X37" s="85"/>
      <c r="Y37" s="85"/>
      <c r="Z37" s="85"/>
      <c r="AA37" s="159"/>
      <c r="AB37" s="160"/>
      <c r="AC37" s="71"/>
    </row>
    <row r="38" spans="1:29" ht="15.75" customHeight="1" thickTop="1">
      <c r="B38" s="516" t="s">
        <v>36</v>
      </c>
      <c r="C38" s="516"/>
      <c r="D38" s="516"/>
      <c r="J38" s="514">
        <f>SUM(J10:J37)</f>
        <v>20250</v>
      </c>
      <c r="K38" s="514">
        <f>SUM(K10:K37)</f>
        <v>12781.811999999998</v>
      </c>
      <c r="L38" s="514">
        <f>SUM(L10:L37)</f>
        <v>12762.756000000001</v>
      </c>
      <c r="M38" s="514">
        <f>SUM(M10:M37)</f>
        <v>657.43200000000002</v>
      </c>
      <c r="N38" s="514">
        <f>SUM(N10:N37)</f>
        <v>207.79200000000003</v>
      </c>
      <c r="Q38" s="83"/>
    </row>
    <row r="39" spans="1:29" ht="21" customHeight="1">
      <c r="B39" s="517"/>
      <c r="C39" s="517"/>
      <c r="D39" s="517"/>
      <c r="E39" s="59">
        <f>SUM(E11:E37)</f>
        <v>0</v>
      </c>
      <c r="F39" s="60">
        <f>SUM(F10:F36)</f>
        <v>28080</v>
      </c>
      <c r="G39" s="61">
        <f t="shared" ref="G39:O39" si="2">SUM(G11:G37)</f>
        <v>19560</v>
      </c>
      <c r="H39" s="62">
        <f t="shared" si="2"/>
        <v>0</v>
      </c>
      <c r="I39" s="55"/>
      <c r="J39" s="515"/>
      <c r="K39" s="515"/>
      <c r="L39" s="515"/>
      <c r="M39" s="515"/>
      <c r="N39" s="515"/>
      <c r="O39" s="55">
        <f t="shared" si="2"/>
        <v>0</v>
      </c>
      <c r="Q39" s="80">
        <f t="shared" ref="Q39:U39" si="3">SUM(Q10:Q37)</f>
        <v>108.76744186046511</v>
      </c>
      <c r="R39" s="80"/>
      <c r="S39" s="80"/>
      <c r="T39" s="81" t="s">
        <v>35</v>
      </c>
      <c r="U39" s="80">
        <f t="shared" si="3"/>
        <v>84.627906976744185</v>
      </c>
      <c r="V39" s="80">
        <f>SUM(V10:V37)</f>
        <v>7.25</v>
      </c>
      <c r="W39" s="80">
        <f t="shared" ref="W39:AA39" si="4">SUM(W10:W37)</f>
        <v>0</v>
      </c>
      <c r="X39" s="80">
        <f t="shared" si="4"/>
        <v>2</v>
      </c>
      <c r="Y39" s="80">
        <f t="shared" si="4"/>
        <v>8</v>
      </c>
      <c r="Z39" s="80">
        <f t="shared" si="4"/>
        <v>0</v>
      </c>
      <c r="AA39" s="80">
        <f t="shared" si="4"/>
        <v>32</v>
      </c>
      <c r="AB39" s="55" t="s">
        <v>29</v>
      </c>
    </row>
    <row r="40" spans="1:29" ht="23.25">
      <c r="C40" s="56" t="s">
        <v>30</v>
      </c>
      <c r="D40" s="57"/>
      <c r="E40" s="595">
        <f>E39+F39+G39+H39</f>
        <v>47640</v>
      </c>
      <c r="F40" s="595"/>
      <c r="G40" s="595"/>
      <c r="H40" s="595"/>
      <c r="U40" s="78"/>
      <c r="V40" s="78"/>
      <c r="W40" s="78"/>
      <c r="X40" s="173"/>
      <c r="Y40" s="164"/>
      <c r="Z40" s="164"/>
      <c r="AA40" s="164"/>
    </row>
    <row r="41" spans="1:29" ht="18.75" customHeight="1">
      <c r="Q41" s="76" t="s">
        <v>34</v>
      </c>
      <c r="S41" s="559">
        <f>K45*K46*K47</f>
        <v>0.68429487179487181</v>
      </c>
      <c r="T41" s="559"/>
    </row>
    <row r="42" spans="1:29" ht="23.25">
      <c r="R42" s="76" t="s">
        <v>33</v>
      </c>
      <c r="U42" s="75">
        <f>V39/E3</f>
        <v>4.3154761904761904E-2</v>
      </c>
      <c r="V42" s="74">
        <f>V39/$E$4</f>
        <v>4.6474358974358976E-2</v>
      </c>
      <c r="W42" s="74">
        <f t="shared" ref="W42:AA42" si="5">W39/$E$4</f>
        <v>0</v>
      </c>
      <c r="X42" s="74">
        <f t="shared" si="5"/>
        <v>1.282051282051282E-2</v>
      </c>
      <c r="Y42" s="74">
        <f t="shared" si="5"/>
        <v>5.128205128205128E-2</v>
      </c>
      <c r="Z42" s="74">
        <f t="shared" si="5"/>
        <v>0</v>
      </c>
      <c r="AA42" s="74">
        <f t="shared" si="5"/>
        <v>0.20512820512820512</v>
      </c>
    </row>
    <row r="43" spans="1:29">
      <c r="E43" s="72"/>
      <c r="G43" s="598"/>
      <c r="H43" s="5"/>
    </row>
    <row r="44" spans="1:29">
      <c r="E44" s="72"/>
      <c r="G44" s="598"/>
      <c r="H44" s="5"/>
    </row>
    <row r="45" spans="1:29" ht="15.75">
      <c r="D45" s="72" t="s">
        <v>103</v>
      </c>
      <c r="E45">
        <v>156</v>
      </c>
      <c r="G45" s="180" t="s">
        <v>70</v>
      </c>
      <c r="K45" s="176">
        <f>+E46/E45</f>
        <v>1</v>
      </c>
      <c r="M45"/>
      <c r="T45" s="596"/>
      <c r="U45" s="596"/>
      <c r="V45" s="596"/>
      <c r="AA45" s="188"/>
    </row>
    <row r="46" spans="1:29" ht="15.75">
      <c r="D46" s="72" t="s">
        <v>69</v>
      </c>
      <c r="E46" s="71">
        <f>E45-W39</f>
        <v>156</v>
      </c>
      <c r="G46" s="180" t="s">
        <v>71</v>
      </c>
      <c r="K46" s="176">
        <f>+E47/E46</f>
        <v>0.69711538461538458</v>
      </c>
      <c r="M46"/>
      <c r="T46" s="597"/>
      <c r="U46" s="597"/>
      <c r="V46" s="597"/>
      <c r="AB46" s="179"/>
    </row>
    <row r="47" spans="1:29" ht="15.75">
      <c r="D47" s="72" t="s">
        <v>68</v>
      </c>
      <c r="E47" s="71">
        <f>+E46-V39-Y39-Z39-AA39</f>
        <v>108.75</v>
      </c>
      <c r="G47" s="180" t="s">
        <v>104</v>
      </c>
      <c r="K47" s="176">
        <f>+E48/E47</f>
        <v>0.98160919540229885</v>
      </c>
      <c r="L47"/>
      <c r="M47"/>
      <c r="P47"/>
      <c r="Q47"/>
      <c r="R47"/>
      <c r="S47"/>
      <c r="T47"/>
      <c r="U47"/>
      <c r="V47"/>
      <c r="W47"/>
      <c r="X47"/>
      <c r="Y47"/>
      <c r="Z47"/>
      <c r="AA47"/>
    </row>
    <row r="48" spans="1:29">
      <c r="D48" s="72" t="s">
        <v>72</v>
      </c>
      <c r="E48" s="71">
        <f>E47-X39</f>
        <v>106.75</v>
      </c>
      <c r="L48" s="69"/>
      <c r="M48" s="177"/>
      <c r="P48"/>
      <c r="Q48"/>
      <c r="R48"/>
      <c r="S48"/>
      <c r="T48"/>
      <c r="U48"/>
      <c r="V48"/>
      <c r="W48"/>
      <c r="X48"/>
      <c r="Y48"/>
      <c r="Z48"/>
      <c r="AA48"/>
    </row>
    <row r="49" spans="7:27" ht="15.75">
      <c r="G49" s="180"/>
      <c r="H49" s="67"/>
      <c r="J49"/>
      <c r="K49" s="66"/>
      <c r="L49"/>
      <c r="M49"/>
      <c r="P49"/>
      <c r="Q49"/>
      <c r="R49"/>
      <c r="S49"/>
      <c r="T49"/>
      <c r="U49"/>
      <c r="V49"/>
      <c r="W49"/>
      <c r="X49"/>
      <c r="Y49"/>
      <c r="Z49"/>
      <c r="AA49"/>
    </row>
    <row r="50" spans="7:27">
      <c r="H50" s="67"/>
      <c r="J50"/>
      <c r="K50"/>
      <c r="L50"/>
      <c r="M50"/>
      <c r="P50"/>
      <c r="Q50"/>
      <c r="R50"/>
      <c r="S50"/>
      <c r="T50"/>
      <c r="U50"/>
      <c r="V50"/>
      <c r="W50"/>
      <c r="X50"/>
      <c r="Y50"/>
      <c r="Z50"/>
      <c r="AA50"/>
    </row>
    <row r="51" spans="7:27">
      <c r="H51" s="66"/>
      <c r="J51"/>
      <c r="K51"/>
      <c r="L51"/>
      <c r="M51"/>
      <c r="P51"/>
      <c r="Q51"/>
      <c r="R51"/>
      <c r="S51"/>
      <c r="T51"/>
      <c r="U51"/>
      <c r="V51"/>
      <c r="W51"/>
      <c r="X51"/>
      <c r="Y51"/>
      <c r="Z51"/>
      <c r="AA51"/>
    </row>
    <row r="52" spans="7:27">
      <c r="J52"/>
      <c r="L52" s="73"/>
      <c r="M52"/>
      <c r="P52"/>
      <c r="Q52"/>
      <c r="R52"/>
      <c r="S52"/>
      <c r="T52"/>
      <c r="U52"/>
      <c r="V52"/>
      <c r="W52"/>
      <c r="X52"/>
      <c r="Y52"/>
      <c r="Z52"/>
      <c r="AA52"/>
    </row>
    <row r="53" spans="7:27">
      <c r="J53"/>
      <c r="M53"/>
      <c r="P53"/>
      <c r="Q53"/>
      <c r="R53"/>
      <c r="S53"/>
      <c r="T53"/>
      <c r="U53"/>
      <c r="V53"/>
      <c r="W53"/>
      <c r="X53"/>
      <c r="Y53"/>
      <c r="Z53"/>
      <c r="AA53"/>
    </row>
    <row r="54" spans="7:27">
      <c r="J54"/>
      <c r="L54" s="73"/>
    </row>
    <row r="55" spans="7:27" ht="18">
      <c r="H55" s="58"/>
    </row>
    <row r="56" spans="7:27">
      <c r="L56" s="178"/>
    </row>
    <row r="57" spans="7:27" ht="18">
      <c r="H57" s="58"/>
    </row>
  </sheetData>
  <mergeCells count="190">
    <mergeCell ref="E40:H40"/>
    <mergeCell ref="S41:T41"/>
    <mergeCell ref="T45:V45"/>
    <mergeCell ref="T46:V46"/>
    <mergeCell ref="G43:G44"/>
    <mergeCell ref="B38:D39"/>
    <mergeCell ref="J38:J39"/>
    <mergeCell ref="K38:K39"/>
    <mergeCell ref="L38:L39"/>
    <mergeCell ref="M38:M39"/>
    <mergeCell ref="N38:N39"/>
    <mergeCell ref="S34:S37"/>
    <mergeCell ref="T34:T37"/>
    <mergeCell ref="A35:A37"/>
    <mergeCell ref="C36:C37"/>
    <mergeCell ref="D36:D37"/>
    <mergeCell ref="F36:F37"/>
    <mergeCell ref="J36:J37"/>
    <mergeCell ref="K36:K37"/>
    <mergeCell ref="L36:L37"/>
    <mergeCell ref="M36:M37"/>
    <mergeCell ref="L34:L35"/>
    <mergeCell ref="M34:M35"/>
    <mergeCell ref="N34:N35"/>
    <mergeCell ref="P34:P37"/>
    <mergeCell ref="Q34:Q37"/>
    <mergeCell ref="R34:R37"/>
    <mergeCell ref="N36:N37"/>
    <mergeCell ref="B34:B37"/>
    <mergeCell ref="C34:C35"/>
    <mergeCell ref="D34:D35"/>
    <mergeCell ref="F34:F35"/>
    <mergeCell ref="J34:J35"/>
    <mergeCell ref="K34:K35"/>
    <mergeCell ref="A31:A33"/>
    <mergeCell ref="U31:U33"/>
    <mergeCell ref="C32:C33"/>
    <mergeCell ref="D32:D33"/>
    <mergeCell ref="F32:F33"/>
    <mergeCell ref="J32:J33"/>
    <mergeCell ref="K32:K33"/>
    <mergeCell ref="L32:L33"/>
    <mergeCell ref="M32:M33"/>
    <mergeCell ref="N32:N33"/>
    <mergeCell ref="O30:O31"/>
    <mergeCell ref="P30:P33"/>
    <mergeCell ref="Q30:Q33"/>
    <mergeCell ref="R30:R33"/>
    <mergeCell ref="S30:S33"/>
    <mergeCell ref="T30:T33"/>
    <mergeCell ref="I30:I31"/>
    <mergeCell ref="J30:J31"/>
    <mergeCell ref="K30:K31"/>
    <mergeCell ref="L30:L31"/>
    <mergeCell ref="M30:M31"/>
    <mergeCell ref="N30:N31"/>
    <mergeCell ref="U27:U29"/>
    <mergeCell ref="C28:C29"/>
    <mergeCell ref="D28:D29"/>
    <mergeCell ref="B30:B33"/>
    <mergeCell ref="C30:C31"/>
    <mergeCell ref="D30:D31"/>
    <mergeCell ref="E30:E31"/>
    <mergeCell ref="F30:F31"/>
    <mergeCell ref="G30:G31"/>
    <mergeCell ref="H30:H31"/>
    <mergeCell ref="P26:P29"/>
    <mergeCell ref="Q26:Q29"/>
    <mergeCell ref="R26:R29"/>
    <mergeCell ref="S26:S29"/>
    <mergeCell ref="T26:T29"/>
    <mergeCell ref="A27:A29"/>
    <mergeCell ref="H26:H27"/>
    <mergeCell ref="J26:J27"/>
    <mergeCell ref="K26:K27"/>
    <mergeCell ref="L26:L27"/>
    <mergeCell ref="M26:M27"/>
    <mergeCell ref="N26:N27"/>
    <mergeCell ref="B26:B29"/>
    <mergeCell ref="C26:C27"/>
    <mergeCell ref="D26:D27"/>
    <mergeCell ref="E26:E27"/>
    <mergeCell ref="F26:F27"/>
    <mergeCell ref="G26:G27"/>
    <mergeCell ref="A23:A25"/>
    <mergeCell ref="U23:U25"/>
    <mergeCell ref="C24:C25"/>
    <mergeCell ref="D24:D25"/>
    <mergeCell ref="G24:G25"/>
    <mergeCell ref="J24:J25"/>
    <mergeCell ref="K22:K23"/>
    <mergeCell ref="L22:L23"/>
    <mergeCell ref="M22:M23"/>
    <mergeCell ref="N22:N23"/>
    <mergeCell ref="O22:O25"/>
    <mergeCell ref="P22:P25"/>
    <mergeCell ref="K24:K25"/>
    <mergeCell ref="L24:L25"/>
    <mergeCell ref="M24:M25"/>
    <mergeCell ref="T18:T21"/>
    <mergeCell ref="U19:U21"/>
    <mergeCell ref="C20:C21"/>
    <mergeCell ref="D20:D21"/>
    <mergeCell ref="B22:B25"/>
    <mergeCell ref="C22:C23"/>
    <mergeCell ref="D22:D23"/>
    <mergeCell ref="G22:G23"/>
    <mergeCell ref="I22:I23"/>
    <mergeCell ref="J22:J23"/>
    <mergeCell ref="N18:N19"/>
    <mergeCell ref="O18:O21"/>
    <mergeCell ref="P18:P21"/>
    <mergeCell ref="Q18:Q21"/>
    <mergeCell ref="R18:R21"/>
    <mergeCell ref="S18:S21"/>
    <mergeCell ref="Q22:Q25"/>
    <mergeCell ref="R22:R25"/>
    <mergeCell ref="S22:S25"/>
    <mergeCell ref="T22:T25"/>
    <mergeCell ref="A14:A17"/>
    <mergeCell ref="B14:B17"/>
    <mergeCell ref="C14:C15"/>
    <mergeCell ref="D14:D15"/>
    <mergeCell ref="F14:F15"/>
    <mergeCell ref="I14:I17"/>
    <mergeCell ref="C16:C17"/>
    <mergeCell ref="D16:D17"/>
    <mergeCell ref="F16:F17"/>
    <mergeCell ref="A18:A21"/>
    <mergeCell ref="B18:B21"/>
    <mergeCell ref="C18:C19"/>
    <mergeCell ref="F18:F19"/>
    <mergeCell ref="I18:I21"/>
    <mergeCell ref="J18:J19"/>
    <mergeCell ref="K18:K19"/>
    <mergeCell ref="L18:L19"/>
    <mergeCell ref="M18:M19"/>
    <mergeCell ref="P14:P17"/>
    <mergeCell ref="Q14:Q17"/>
    <mergeCell ref="R14:R17"/>
    <mergeCell ref="S14:S17"/>
    <mergeCell ref="T14:T17"/>
    <mergeCell ref="U15:U17"/>
    <mergeCell ref="J14:J15"/>
    <mergeCell ref="K14:K15"/>
    <mergeCell ref="L14:L15"/>
    <mergeCell ref="M14:M15"/>
    <mergeCell ref="N14:N15"/>
    <mergeCell ref="O14:O17"/>
    <mergeCell ref="J16:J17"/>
    <mergeCell ref="K16:K17"/>
    <mergeCell ref="L16:L17"/>
    <mergeCell ref="M16:M17"/>
    <mergeCell ref="N16:N17"/>
    <mergeCell ref="B10:B13"/>
    <mergeCell ref="C10:C11"/>
    <mergeCell ref="F10:F11"/>
    <mergeCell ref="J10:J11"/>
    <mergeCell ref="K10:K11"/>
    <mergeCell ref="S10:S13"/>
    <mergeCell ref="T10:T13"/>
    <mergeCell ref="A11:A13"/>
    <mergeCell ref="U11:U13"/>
    <mergeCell ref="C12:C13"/>
    <mergeCell ref="D12:D13"/>
    <mergeCell ref="F12:F13"/>
    <mergeCell ref="J12:J13"/>
    <mergeCell ref="K12:K13"/>
    <mergeCell ref="L12:L13"/>
    <mergeCell ref="L10:L11"/>
    <mergeCell ref="M10:M11"/>
    <mergeCell ref="N10:N11"/>
    <mergeCell ref="P10:P13"/>
    <mergeCell ref="Q10:Q13"/>
    <mergeCell ref="R10:R13"/>
    <mergeCell ref="M12:M13"/>
    <mergeCell ref="N12:N13"/>
    <mergeCell ref="V8:AA8"/>
    <mergeCell ref="G3:H3"/>
    <mergeCell ref="G4:H4"/>
    <mergeCell ref="G5:H5"/>
    <mergeCell ref="G6:H6"/>
    <mergeCell ref="B8:B9"/>
    <mergeCell ref="C8:C9"/>
    <mergeCell ref="D8:D9"/>
    <mergeCell ref="E8:H8"/>
    <mergeCell ref="J8:N8"/>
    <mergeCell ref="O8:O9"/>
    <mergeCell ref="R8:R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57"/>
  <sheetViews>
    <sheetView showGridLines="0" topLeftCell="C1" zoomScale="90" zoomScaleNormal="90" workbookViewId="0">
      <pane ySplit="9" topLeftCell="A31" activePane="bottomLeft" state="frozen"/>
      <selection activeCell="C1" sqref="C1"/>
      <selection pane="bottomLeft" activeCell="AA42" activeCellId="6" sqref="S41:T41 V42 W42 X42 Y42 Z42 AA42"/>
    </sheetView>
  </sheetViews>
  <sheetFormatPr baseColWidth="10" defaultRowHeight="15"/>
  <cols>
    <col min="1" max="1" width="6" customWidth="1"/>
    <col min="2" max="2" width="10.28515625" customWidth="1"/>
    <col min="4" max="4" width="13.5703125" customWidth="1"/>
    <col min="5" max="7" width="8.5703125" customWidth="1"/>
    <col min="8" max="8" width="9.5703125" customWidth="1"/>
    <col min="9" max="9" width="1.140625" customWidth="1"/>
    <col min="10" max="13" width="9.28515625" style="5" customWidth="1"/>
    <col min="14" max="14" width="9.28515625" customWidth="1"/>
    <col min="15" max="15" width="1.140625" customWidth="1"/>
    <col min="16" max="16" width="8.85546875" style="3" customWidth="1"/>
    <col min="17" max="17" width="9" style="3" customWidth="1"/>
    <col min="18" max="20" width="9.5703125" style="3" customWidth="1"/>
    <col min="21" max="21" width="9" style="3" hidden="1" customWidth="1"/>
    <col min="22" max="27" width="8.42578125" style="3" customWidth="1"/>
    <col min="28" max="28" width="39.85546875" style="4" customWidth="1"/>
    <col min="29" max="29" width="11.42578125" style="202"/>
  </cols>
  <sheetData>
    <row r="1" spans="1:29">
      <c r="L1"/>
      <c r="M1"/>
    </row>
    <row r="2" spans="1:29">
      <c r="J2" s="5" t="str">
        <f>J9</f>
        <v>Résine</v>
      </c>
      <c r="K2" s="5" t="str">
        <f>K9</f>
        <v xml:space="preserve">Charge </v>
      </c>
      <c r="L2" t="str">
        <f>L9</f>
        <v>DOP</v>
      </c>
      <c r="M2" t="str">
        <f>M9</f>
        <v>Stab.</v>
      </c>
      <c r="N2" s="5" t="s">
        <v>14</v>
      </c>
      <c r="O2" s="135"/>
      <c r="Q2" s="134"/>
      <c r="S2" s="128"/>
      <c r="T2" s="128"/>
      <c r="U2" s="134"/>
      <c r="V2" s="134"/>
      <c r="W2" s="134"/>
      <c r="X2" s="134"/>
      <c r="Y2" s="134"/>
      <c r="Z2" s="134"/>
      <c r="AA2" s="134"/>
    </row>
    <row r="3" spans="1:29" ht="15.75" customHeight="1">
      <c r="B3" t="s">
        <v>67</v>
      </c>
      <c r="D3" s="170" t="s">
        <v>64</v>
      </c>
      <c r="E3" s="171">
        <v>168</v>
      </c>
      <c r="F3" t="s">
        <v>66</v>
      </c>
      <c r="G3" s="537" t="str">
        <f>E9</f>
        <v>PVC Isolat°</v>
      </c>
      <c r="H3" s="537"/>
      <c r="I3" s="133"/>
      <c r="J3" s="1">
        <v>0.46</v>
      </c>
      <c r="K3" s="2">
        <v>0.30620000000000003</v>
      </c>
      <c r="L3" s="2">
        <v>0.22</v>
      </c>
      <c r="M3" s="2">
        <v>1.38E-2</v>
      </c>
      <c r="N3" s="6"/>
      <c r="O3" s="11"/>
      <c r="P3" s="77"/>
      <c r="Q3" s="132"/>
      <c r="R3" s="7"/>
      <c r="S3" s="128"/>
      <c r="T3" s="128"/>
      <c r="U3" s="132"/>
      <c r="V3" s="132"/>
      <c r="W3" s="132"/>
      <c r="X3" s="132"/>
      <c r="Y3" s="132"/>
      <c r="Z3" s="132"/>
      <c r="AA3" s="132"/>
    </row>
    <row r="4" spans="1:29" ht="15.75" customHeight="1">
      <c r="B4" t="s">
        <v>63</v>
      </c>
      <c r="D4" s="170" t="s">
        <v>93</v>
      </c>
      <c r="E4">
        <v>144</v>
      </c>
      <c r="F4" t="s">
        <v>66</v>
      </c>
      <c r="G4" s="538" t="str">
        <f>F9</f>
        <v>PVC Gris</v>
      </c>
      <c r="H4" s="538"/>
      <c r="I4" s="131"/>
      <c r="J4" s="8">
        <v>0.45</v>
      </c>
      <c r="K4" s="8">
        <v>0.26829999999999998</v>
      </c>
      <c r="L4" s="8">
        <v>0.26790000000000003</v>
      </c>
      <c r="M4" s="8">
        <v>1.38E-2</v>
      </c>
      <c r="N4" s="8">
        <v>7.4000000000000003E-3</v>
      </c>
      <c r="O4" s="130"/>
      <c r="P4" s="128"/>
      <c r="R4" s="128"/>
    </row>
    <row r="5" spans="1:29" ht="15.75" customHeight="1">
      <c r="B5" t="s">
        <v>62</v>
      </c>
      <c r="D5" s="172">
        <v>10320</v>
      </c>
      <c r="E5" t="s">
        <v>61</v>
      </c>
      <c r="G5" s="539" t="str">
        <f>G9</f>
        <v>PVC Gainage</v>
      </c>
      <c r="H5" s="539"/>
      <c r="I5" s="129"/>
      <c r="J5" s="9">
        <v>0.45</v>
      </c>
      <c r="K5" s="9">
        <v>0.26829999999999998</v>
      </c>
      <c r="L5" s="9">
        <v>0.26790000000000003</v>
      </c>
      <c r="M5" s="9">
        <v>1.38E-2</v>
      </c>
      <c r="N5" s="6"/>
      <c r="O5" s="11"/>
      <c r="P5" s="7"/>
      <c r="R5" s="128"/>
      <c r="X5" s="127"/>
    </row>
    <row r="6" spans="1:29" ht="15.75" customHeight="1">
      <c r="D6">
        <f>D5/2</f>
        <v>5160</v>
      </c>
      <c r="E6" t="s">
        <v>83</v>
      </c>
      <c r="G6" s="540" t="str">
        <f>H9</f>
        <v>PVC Bourrage</v>
      </c>
      <c r="H6" s="540"/>
      <c r="I6" s="126"/>
      <c r="J6" s="10">
        <v>0.35320000000000001</v>
      </c>
      <c r="K6" s="10">
        <v>0.42420000000000002</v>
      </c>
      <c r="L6" s="10">
        <v>0.21199999999999999</v>
      </c>
      <c r="M6" s="10">
        <v>1.06E-2</v>
      </c>
      <c r="N6" s="6"/>
      <c r="O6" s="11"/>
      <c r="P6" s="7"/>
      <c r="Q6" s="125"/>
      <c r="R6" s="3">
        <v>12</v>
      </c>
      <c r="T6" s="7"/>
      <c r="U6" s="125"/>
      <c r="V6" s="125"/>
      <c r="W6" s="125"/>
      <c r="X6" s="125"/>
      <c r="Y6" s="125"/>
      <c r="Z6" s="125"/>
      <c r="AA6" s="125"/>
    </row>
    <row r="7" spans="1:29" s="11" customFormat="1">
      <c r="H7" s="12"/>
      <c r="Q7" s="125"/>
      <c r="R7" s="124">
        <v>24</v>
      </c>
      <c r="T7" s="3"/>
      <c r="U7" s="13"/>
      <c r="V7" s="13"/>
      <c r="W7" s="13"/>
      <c r="X7" s="13"/>
      <c r="Y7" s="13"/>
      <c r="Z7" s="13"/>
      <c r="AA7" s="13"/>
      <c r="AB7" s="14"/>
      <c r="AC7" s="12"/>
    </row>
    <row r="8" spans="1:29" ht="18.75" customHeight="1">
      <c r="B8" s="505" t="s">
        <v>0</v>
      </c>
      <c r="C8" s="505" t="s">
        <v>1</v>
      </c>
      <c r="D8" s="505" t="s">
        <v>2</v>
      </c>
      <c r="E8" s="509" t="s">
        <v>3</v>
      </c>
      <c r="F8" s="509"/>
      <c r="G8" s="509"/>
      <c r="H8" s="546"/>
      <c r="I8" s="15"/>
      <c r="J8" s="508" t="s">
        <v>4</v>
      </c>
      <c r="K8" s="509"/>
      <c r="L8" s="509"/>
      <c r="M8" s="509"/>
      <c r="N8" s="509"/>
      <c r="O8" s="506"/>
      <c r="P8" s="123" t="s">
        <v>49</v>
      </c>
      <c r="Q8" s="122" t="s">
        <v>48</v>
      </c>
      <c r="R8" s="541" t="s">
        <v>47</v>
      </c>
      <c r="S8" s="568" t="s">
        <v>46</v>
      </c>
      <c r="T8" s="568"/>
      <c r="V8" s="550" t="s">
        <v>33</v>
      </c>
      <c r="W8" s="551"/>
      <c r="X8" s="551"/>
      <c r="Y8" s="551"/>
      <c r="Z8" s="551"/>
      <c r="AA8" s="552"/>
      <c r="AB8" s="121"/>
    </row>
    <row r="9" spans="1:29" ht="35.25" customHeight="1">
      <c r="B9" s="505"/>
      <c r="C9" s="505"/>
      <c r="D9" s="505"/>
      <c r="E9" s="120" t="s">
        <v>6</v>
      </c>
      <c r="F9" s="119" t="s">
        <v>7</v>
      </c>
      <c r="G9" s="118" t="s">
        <v>8</v>
      </c>
      <c r="H9" s="117" t="s">
        <v>9</v>
      </c>
      <c r="I9" s="16"/>
      <c r="J9" s="17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507"/>
      <c r="P9" s="116" t="s">
        <v>45</v>
      </c>
      <c r="Q9" s="116" t="s">
        <v>44</v>
      </c>
      <c r="R9" s="542"/>
      <c r="S9" s="115" t="s">
        <v>43</v>
      </c>
      <c r="T9" s="114" t="s">
        <v>42</v>
      </c>
      <c r="U9" s="64"/>
      <c r="V9" s="204" t="s">
        <v>41</v>
      </c>
      <c r="W9" s="205" t="s">
        <v>40</v>
      </c>
      <c r="X9" s="206" t="s">
        <v>39</v>
      </c>
      <c r="Y9" s="207" t="s">
        <v>75</v>
      </c>
      <c r="Z9" s="208" t="s">
        <v>76</v>
      </c>
      <c r="AA9" s="209" t="s">
        <v>77</v>
      </c>
      <c r="AB9" s="136" t="s">
        <v>5</v>
      </c>
    </row>
    <row r="10" spans="1:29" ht="17.25" customHeight="1">
      <c r="B10" s="560">
        <v>42891</v>
      </c>
      <c r="C10" s="495" t="s">
        <v>16</v>
      </c>
      <c r="D10" s="137"/>
      <c r="E10" s="19"/>
      <c r="F10" s="569"/>
      <c r="G10" s="19"/>
      <c r="H10" s="19"/>
      <c r="I10" s="138"/>
      <c r="J10" s="570"/>
      <c r="K10" s="570"/>
      <c r="L10" s="570"/>
      <c r="M10" s="570"/>
      <c r="N10" s="570"/>
      <c r="O10" s="21"/>
      <c r="P10" s="495">
        <f>G12</f>
        <v>0</v>
      </c>
      <c r="Q10" s="562">
        <f>P10*R7/D5</f>
        <v>0</v>
      </c>
      <c r="R10" s="563">
        <f>+Q10/R7</f>
        <v>0</v>
      </c>
      <c r="S10" s="495">
        <f>D5-P10</f>
        <v>10320</v>
      </c>
      <c r="T10" s="567">
        <f>S10/D5</f>
        <v>1</v>
      </c>
      <c r="U10" s="113"/>
      <c r="V10" s="112">
        <v>2</v>
      </c>
      <c r="W10" s="216"/>
      <c r="X10" s="216"/>
      <c r="Y10" s="216"/>
      <c r="Z10" s="216"/>
      <c r="AA10" s="217"/>
      <c r="AB10" s="111" t="s">
        <v>73</v>
      </c>
    </row>
    <row r="11" spans="1:29" ht="17.25" customHeight="1">
      <c r="A11" s="510" t="s">
        <v>15</v>
      </c>
      <c r="B11" s="512"/>
      <c r="C11" s="467"/>
      <c r="D11" s="137"/>
      <c r="E11" s="19"/>
      <c r="F11" s="471"/>
      <c r="G11" s="19"/>
      <c r="H11" s="19"/>
      <c r="I11" s="138"/>
      <c r="J11" s="571"/>
      <c r="K11" s="571"/>
      <c r="L11" s="571"/>
      <c r="M11" s="571"/>
      <c r="N11" s="571"/>
      <c r="O11" s="21"/>
      <c r="P11" s="450"/>
      <c r="Q11" s="453"/>
      <c r="R11" s="456"/>
      <c r="S11" s="450"/>
      <c r="T11" s="477"/>
      <c r="U11" s="564">
        <f>Q10+Y13</f>
        <v>0</v>
      </c>
      <c r="V11" s="89"/>
      <c r="W11" s="210"/>
      <c r="X11" s="210"/>
      <c r="Y11" s="210"/>
      <c r="Z11" s="210"/>
      <c r="AA11" s="210"/>
      <c r="AB11" s="90"/>
    </row>
    <row r="12" spans="1:29" ht="17.25" customHeight="1" thickBot="1">
      <c r="A12" s="510"/>
      <c r="B12" s="512"/>
      <c r="C12" s="495" t="s">
        <v>19</v>
      </c>
      <c r="D12" s="493" t="s">
        <v>22</v>
      </c>
      <c r="E12" s="19"/>
      <c r="F12" s="19"/>
      <c r="G12" s="583">
        <v>0</v>
      </c>
      <c r="H12" s="19"/>
      <c r="I12" s="21"/>
      <c r="J12" s="584">
        <f t="shared" ref="J12:M12" si="0">$G12*J$5</f>
        <v>0</v>
      </c>
      <c r="K12" s="584">
        <f t="shared" si="0"/>
        <v>0</v>
      </c>
      <c r="L12" s="584">
        <f t="shared" si="0"/>
        <v>0</v>
      </c>
      <c r="M12" s="584">
        <f t="shared" si="0"/>
        <v>0</v>
      </c>
      <c r="N12" s="44"/>
      <c r="O12" s="21"/>
      <c r="P12" s="450"/>
      <c r="Q12" s="453"/>
      <c r="R12" s="456"/>
      <c r="S12" s="450"/>
      <c r="T12" s="477"/>
      <c r="U12" s="480"/>
      <c r="V12" s="89"/>
      <c r="W12" s="139"/>
      <c r="X12" s="139"/>
      <c r="Y12" s="96">
        <v>10</v>
      </c>
      <c r="Z12" s="102"/>
      <c r="AA12" s="102"/>
      <c r="AB12" s="201" t="s">
        <v>51</v>
      </c>
    </row>
    <row r="13" spans="1:29" ht="17.25" customHeight="1" thickTop="1" thickBot="1">
      <c r="A13" s="510"/>
      <c r="B13" s="513"/>
      <c r="C13" s="451"/>
      <c r="D13" s="494"/>
      <c r="E13" s="22"/>
      <c r="F13" s="22"/>
      <c r="G13" s="600"/>
      <c r="H13" s="22"/>
      <c r="I13" s="23"/>
      <c r="J13" s="582"/>
      <c r="K13" s="582"/>
      <c r="L13" s="582"/>
      <c r="M13" s="582"/>
      <c r="N13" s="150"/>
      <c r="O13" s="23"/>
      <c r="P13" s="451"/>
      <c r="Q13" s="454"/>
      <c r="R13" s="457"/>
      <c r="S13" s="451"/>
      <c r="T13" s="478"/>
      <c r="U13" s="481"/>
      <c r="V13" s="110"/>
      <c r="W13" s="141"/>
      <c r="X13" s="141"/>
      <c r="Y13" s="221"/>
      <c r="Z13" s="211"/>
      <c r="AA13" s="195"/>
      <c r="AB13" s="191"/>
      <c r="AC13" s="203">
        <f>+Q10+Y12</f>
        <v>10</v>
      </c>
    </row>
    <row r="14" spans="1:29" ht="18.75" customHeight="1" thickTop="1">
      <c r="A14" s="510" t="s">
        <v>21</v>
      </c>
      <c r="B14" s="511">
        <v>42892</v>
      </c>
      <c r="C14" s="449" t="s">
        <v>16</v>
      </c>
      <c r="D14" s="468" t="s">
        <v>17</v>
      </c>
      <c r="E14" s="19"/>
      <c r="F14" s="19"/>
      <c r="G14" s="579">
        <f>47*120</f>
        <v>5640</v>
      </c>
      <c r="H14" s="19"/>
      <c r="I14" s="491"/>
      <c r="J14" s="581">
        <f t="shared" ref="J14:M18" si="1">$G14*J$5</f>
        <v>2538</v>
      </c>
      <c r="K14" s="581">
        <f t="shared" si="1"/>
        <v>1513.212</v>
      </c>
      <c r="L14" s="581">
        <f t="shared" si="1"/>
        <v>1510.9560000000001</v>
      </c>
      <c r="M14" s="581">
        <f t="shared" si="1"/>
        <v>77.831999999999994</v>
      </c>
      <c r="N14" s="576"/>
      <c r="O14" s="491"/>
      <c r="P14" s="449">
        <f>G14+G16</f>
        <v>10200</v>
      </c>
      <c r="Q14" s="502">
        <f>P14*R7/D5</f>
        <v>23.720930232558139</v>
      </c>
      <c r="R14" s="574">
        <f>Q14/R7</f>
        <v>0.98837209302325579</v>
      </c>
      <c r="S14" s="449">
        <f>+D5-P14</f>
        <v>120</v>
      </c>
      <c r="T14" s="476">
        <f>S14/D5</f>
        <v>1.1627906976744186E-2</v>
      </c>
      <c r="U14" s="182"/>
      <c r="V14" s="92"/>
      <c r="W14" s="142"/>
      <c r="X14" s="142"/>
      <c r="Y14" s="212"/>
      <c r="Z14" s="212"/>
      <c r="AA14" s="196"/>
      <c r="AB14" s="97"/>
      <c r="AC14" s="203"/>
    </row>
    <row r="15" spans="1:29" ht="18.75" customHeight="1">
      <c r="A15" s="510"/>
      <c r="B15" s="512"/>
      <c r="C15" s="467"/>
      <c r="D15" s="469"/>
      <c r="E15" s="19"/>
      <c r="F15" s="19"/>
      <c r="G15" s="580"/>
      <c r="H15" s="19"/>
      <c r="I15" s="448"/>
      <c r="J15" s="582"/>
      <c r="K15" s="582"/>
      <c r="L15" s="582"/>
      <c r="M15" s="582"/>
      <c r="N15" s="585"/>
      <c r="O15" s="448"/>
      <c r="P15" s="450"/>
      <c r="Q15" s="503"/>
      <c r="R15" s="573"/>
      <c r="S15" s="450"/>
      <c r="T15" s="477"/>
      <c r="U15" s="564">
        <f>Q14+Y15+Y17</f>
        <v>23.720930232558139</v>
      </c>
      <c r="V15" s="89"/>
      <c r="W15" s="139"/>
      <c r="X15" s="139"/>
      <c r="Y15" s="210"/>
      <c r="Z15" s="210"/>
      <c r="AA15" s="194"/>
      <c r="AB15" s="90"/>
      <c r="AC15" s="203"/>
    </row>
    <row r="16" spans="1:29" ht="18.75" customHeight="1" thickBot="1">
      <c r="A16" s="510"/>
      <c r="B16" s="512"/>
      <c r="C16" s="495" t="s">
        <v>19</v>
      </c>
      <c r="D16" s="493" t="s">
        <v>22</v>
      </c>
      <c r="E16" s="19"/>
      <c r="F16" s="19"/>
      <c r="G16" s="583">
        <f>38*120</f>
        <v>4560</v>
      </c>
      <c r="H16" s="19"/>
      <c r="I16" s="448"/>
      <c r="J16" s="584">
        <f t="shared" si="1"/>
        <v>2052</v>
      </c>
      <c r="K16" s="584">
        <f t="shared" si="1"/>
        <v>1223.4479999999999</v>
      </c>
      <c r="L16" s="584">
        <f t="shared" si="1"/>
        <v>1221.624</v>
      </c>
      <c r="M16" s="584">
        <f t="shared" si="1"/>
        <v>62.927999999999997</v>
      </c>
      <c r="N16" s="44"/>
      <c r="O16" s="448"/>
      <c r="P16" s="450"/>
      <c r="Q16" s="503"/>
      <c r="R16" s="573"/>
      <c r="S16" s="450"/>
      <c r="T16" s="477"/>
      <c r="U16" s="480"/>
      <c r="V16" s="89"/>
      <c r="W16" s="139"/>
      <c r="X16" s="139"/>
      <c r="Y16" s="210"/>
      <c r="Z16" s="210"/>
      <c r="AA16" s="194"/>
      <c r="AB16" s="90"/>
      <c r="AC16" s="203"/>
    </row>
    <row r="17" spans="1:29" ht="18.75" customHeight="1" thickTop="1" thickBot="1">
      <c r="A17" s="510"/>
      <c r="B17" s="513"/>
      <c r="C17" s="451"/>
      <c r="D17" s="494"/>
      <c r="E17" s="22"/>
      <c r="F17" s="22"/>
      <c r="G17" s="580"/>
      <c r="H17" s="22"/>
      <c r="I17" s="492"/>
      <c r="J17" s="582"/>
      <c r="K17" s="582"/>
      <c r="L17" s="582"/>
      <c r="M17" s="582"/>
      <c r="N17" s="150"/>
      <c r="O17" s="492"/>
      <c r="P17" s="451"/>
      <c r="Q17" s="504"/>
      <c r="R17" s="554"/>
      <c r="S17" s="451"/>
      <c r="T17" s="478"/>
      <c r="U17" s="481"/>
      <c r="V17" s="86"/>
      <c r="W17" s="85"/>
      <c r="X17" s="85"/>
      <c r="Y17" s="213"/>
      <c r="Z17" s="213"/>
      <c r="AA17" s="197">
        <v>0.25</v>
      </c>
      <c r="AB17" s="198" t="s">
        <v>74</v>
      </c>
      <c r="AC17" s="203">
        <f>+Q14+Y16+Y17+AA17</f>
        <v>23.970930232558139</v>
      </c>
    </row>
    <row r="18" spans="1:29" ht="16.5" customHeight="1" thickTop="1" thickBot="1">
      <c r="A18" s="510" t="s">
        <v>23</v>
      </c>
      <c r="B18" s="511">
        <v>42893</v>
      </c>
      <c r="C18" s="449" t="s">
        <v>16</v>
      </c>
      <c r="D18" s="468" t="s">
        <v>17</v>
      </c>
      <c r="E18" s="19"/>
      <c r="F18" s="19"/>
      <c r="G18" s="579">
        <f>19*120</f>
        <v>2280</v>
      </c>
      <c r="H18" s="19"/>
      <c r="I18" s="491"/>
      <c r="J18" s="581">
        <f t="shared" si="1"/>
        <v>1026</v>
      </c>
      <c r="K18" s="581">
        <f t="shared" si="1"/>
        <v>611.72399999999993</v>
      </c>
      <c r="L18" s="581">
        <f t="shared" si="1"/>
        <v>610.81200000000001</v>
      </c>
      <c r="M18" s="581">
        <f t="shared" si="1"/>
        <v>31.463999999999999</v>
      </c>
      <c r="N18" s="576"/>
      <c r="O18" s="491"/>
      <c r="P18" s="449">
        <f>G18+G20</f>
        <v>3000</v>
      </c>
      <c r="Q18" s="502">
        <f>P18*R7/D5</f>
        <v>6.9767441860465116</v>
      </c>
      <c r="R18" s="574">
        <f>Q18/R7</f>
        <v>0.29069767441860467</v>
      </c>
      <c r="S18" s="449">
        <f>+D5-P18</f>
        <v>7320</v>
      </c>
      <c r="T18" s="476">
        <f>S18/D5</f>
        <v>0.70930232558139539</v>
      </c>
      <c r="U18" s="182"/>
      <c r="V18" s="92"/>
      <c r="W18" s="142"/>
      <c r="X18" s="142"/>
      <c r="Y18" s="212"/>
      <c r="Z18" s="142"/>
      <c r="AA18" s="156"/>
      <c r="AB18" s="189"/>
      <c r="AC18" s="203"/>
    </row>
    <row r="19" spans="1:29" ht="16.5" customHeight="1" thickTop="1">
      <c r="A19" s="510"/>
      <c r="B19" s="512"/>
      <c r="C19" s="467"/>
      <c r="D19" s="469"/>
      <c r="E19" s="19"/>
      <c r="F19" s="19"/>
      <c r="G19" s="580"/>
      <c r="H19" s="19"/>
      <c r="I19" s="448"/>
      <c r="J19" s="582"/>
      <c r="K19" s="582"/>
      <c r="L19" s="582"/>
      <c r="M19" s="582"/>
      <c r="N19" s="585"/>
      <c r="O19" s="448"/>
      <c r="P19" s="450"/>
      <c r="Q19" s="503"/>
      <c r="R19" s="573"/>
      <c r="S19" s="450"/>
      <c r="T19" s="477"/>
      <c r="U19" s="547"/>
      <c r="V19" s="89"/>
      <c r="W19" s="139"/>
      <c r="X19" s="139"/>
      <c r="Y19" s="210"/>
      <c r="Z19" s="139"/>
      <c r="AA19" s="157"/>
      <c r="AB19" s="190"/>
      <c r="AC19" s="203"/>
    </row>
    <row r="20" spans="1:29" ht="16.5" customHeight="1" thickBot="1">
      <c r="A20" s="510"/>
      <c r="B20" s="512"/>
      <c r="C20" s="495" t="s">
        <v>19</v>
      </c>
      <c r="D20" s="493" t="s">
        <v>22</v>
      </c>
      <c r="E20" s="19"/>
      <c r="F20" s="19"/>
      <c r="G20" s="583">
        <f>6*120</f>
        <v>720</v>
      </c>
      <c r="H20" s="19"/>
      <c r="I20" s="448"/>
      <c r="J20" s="584">
        <f t="shared" ref="J20:M28" si="2">$G20*J$5</f>
        <v>324</v>
      </c>
      <c r="K20" s="584">
        <f t="shared" si="2"/>
        <v>193.17599999999999</v>
      </c>
      <c r="L20" s="584">
        <f t="shared" si="2"/>
        <v>192.88800000000003</v>
      </c>
      <c r="M20" s="584">
        <f t="shared" si="2"/>
        <v>9.9359999999999999</v>
      </c>
      <c r="N20" s="44"/>
      <c r="O20" s="448"/>
      <c r="P20" s="450"/>
      <c r="Q20" s="503"/>
      <c r="R20" s="573"/>
      <c r="S20" s="450"/>
      <c r="T20" s="477"/>
      <c r="U20" s="548"/>
      <c r="V20" s="89"/>
      <c r="W20" s="139"/>
      <c r="X20" s="139"/>
      <c r="Y20" s="102">
        <v>17</v>
      </c>
      <c r="Z20" s="102"/>
      <c r="AA20" s="102"/>
      <c r="AB20" s="201" t="s">
        <v>51</v>
      </c>
      <c r="AC20" s="203"/>
    </row>
    <row r="21" spans="1:29" ht="16.5" customHeight="1" thickTop="1" thickBot="1">
      <c r="A21" s="510"/>
      <c r="B21" s="513"/>
      <c r="C21" s="451"/>
      <c r="D21" s="494"/>
      <c r="E21" s="22"/>
      <c r="F21" s="22"/>
      <c r="G21" s="580"/>
      <c r="H21" s="22"/>
      <c r="I21" s="492"/>
      <c r="J21" s="582"/>
      <c r="K21" s="582"/>
      <c r="L21" s="582"/>
      <c r="M21" s="582"/>
      <c r="N21" s="150"/>
      <c r="O21" s="492"/>
      <c r="P21" s="451"/>
      <c r="Q21" s="504"/>
      <c r="R21" s="554"/>
      <c r="S21" s="451"/>
      <c r="T21" s="478"/>
      <c r="U21" s="549"/>
      <c r="V21" s="86"/>
      <c r="W21" s="85"/>
      <c r="X21" s="85"/>
      <c r="Y21" s="139"/>
      <c r="Z21" s="193"/>
      <c r="AA21" s="161"/>
      <c r="AB21" s="191"/>
      <c r="AC21" s="203">
        <f>+Q18+Y20+Y21</f>
        <v>23.97674418604651</v>
      </c>
    </row>
    <row r="22" spans="1:29" ht="18" customHeight="1" thickTop="1" thickBot="1">
      <c r="A22" s="184"/>
      <c r="B22" s="511">
        <v>42894</v>
      </c>
      <c r="C22" s="449" t="s">
        <v>16</v>
      </c>
      <c r="D22" s="468" t="s">
        <v>17</v>
      </c>
      <c r="E22" s="531"/>
      <c r="F22" s="531"/>
      <c r="G22" s="579">
        <f>32*120</f>
        <v>3840</v>
      </c>
      <c r="H22" s="531"/>
      <c r="I22" s="491"/>
      <c r="J22" s="581">
        <f t="shared" si="2"/>
        <v>1728</v>
      </c>
      <c r="K22" s="581">
        <f t="shared" si="2"/>
        <v>1030.2719999999999</v>
      </c>
      <c r="L22" s="581">
        <f t="shared" si="2"/>
        <v>1028.7360000000001</v>
      </c>
      <c r="M22" s="581">
        <f t="shared" si="2"/>
        <v>52.991999999999997</v>
      </c>
      <c r="N22" s="576"/>
      <c r="O22" s="491"/>
      <c r="P22" s="449">
        <f>SUM(E22:H25)</f>
        <v>7920</v>
      </c>
      <c r="Q22" s="482">
        <f>P22*R7/D5</f>
        <v>18.418604651162791</v>
      </c>
      <c r="R22" s="574">
        <f>Q22/R7</f>
        <v>0.76744186046511631</v>
      </c>
      <c r="S22" s="449">
        <f>D5-P22</f>
        <v>2400</v>
      </c>
      <c r="T22" s="485">
        <f>S22/D5</f>
        <v>0.23255813953488372</v>
      </c>
      <c r="U22" s="185"/>
      <c r="V22" s="92"/>
      <c r="W22" s="142"/>
      <c r="X22" s="142"/>
      <c r="Y22" s="142"/>
      <c r="Z22" s="142"/>
      <c r="AA22" s="156"/>
      <c r="AB22" s="189"/>
      <c r="AC22" s="203"/>
    </row>
    <row r="23" spans="1:29" ht="18" customHeight="1" thickTop="1">
      <c r="A23" s="510" t="s">
        <v>24</v>
      </c>
      <c r="B23" s="498"/>
      <c r="C23" s="467"/>
      <c r="D23" s="469"/>
      <c r="E23" s="532"/>
      <c r="F23" s="532"/>
      <c r="G23" s="580"/>
      <c r="H23" s="532"/>
      <c r="I23" s="448"/>
      <c r="J23" s="582"/>
      <c r="K23" s="582"/>
      <c r="L23" s="582"/>
      <c r="M23" s="582"/>
      <c r="N23" s="585"/>
      <c r="O23" s="448"/>
      <c r="P23" s="450"/>
      <c r="Q23" s="483"/>
      <c r="R23" s="573"/>
      <c r="S23" s="450"/>
      <c r="T23" s="486"/>
      <c r="U23" s="482">
        <f>Q22+Y23+Y25</f>
        <v>18.418604651162791</v>
      </c>
      <c r="V23" s="89"/>
      <c r="W23" s="139"/>
      <c r="X23" s="139"/>
      <c r="Y23" s="139"/>
      <c r="Z23" s="139"/>
      <c r="AA23" s="157"/>
      <c r="AB23" s="190"/>
      <c r="AC23" s="203"/>
    </row>
    <row r="24" spans="1:29" ht="18" customHeight="1" thickBot="1">
      <c r="A24" s="510"/>
      <c r="B24" s="498"/>
      <c r="C24" s="495" t="s">
        <v>19</v>
      </c>
      <c r="D24" s="493" t="s">
        <v>22</v>
      </c>
      <c r="E24" s="40"/>
      <c r="F24" s="40"/>
      <c r="G24" s="583">
        <f>34*120</f>
        <v>4080</v>
      </c>
      <c r="H24" s="40"/>
      <c r="I24" s="21"/>
      <c r="J24" s="584">
        <f t="shared" si="2"/>
        <v>1836</v>
      </c>
      <c r="K24" s="584">
        <f t="shared" si="2"/>
        <v>1094.664</v>
      </c>
      <c r="L24" s="584">
        <f t="shared" si="2"/>
        <v>1093.0320000000002</v>
      </c>
      <c r="M24" s="584">
        <f t="shared" si="2"/>
        <v>56.304000000000002</v>
      </c>
      <c r="N24" s="44"/>
      <c r="O24" s="448"/>
      <c r="P24" s="450"/>
      <c r="Q24" s="483"/>
      <c r="R24" s="573"/>
      <c r="S24" s="450"/>
      <c r="T24" s="486"/>
      <c r="U24" s="483"/>
      <c r="V24" s="89"/>
      <c r="W24" s="139"/>
      <c r="X24" s="139"/>
      <c r="Y24" s="266">
        <v>5.5</v>
      </c>
      <c r="Z24" s="102"/>
      <c r="AA24" s="102"/>
      <c r="AB24" s="201" t="s">
        <v>51</v>
      </c>
      <c r="AC24" s="203"/>
    </row>
    <row r="25" spans="1:29" ht="18" customHeight="1" thickTop="1" thickBot="1">
      <c r="A25" s="510"/>
      <c r="B25" s="498"/>
      <c r="C25" s="498"/>
      <c r="D25" s="494"/>
      <c r="E25" s="22"/>
      <c r="F25" s="22"/>
      <c r="G25" s="580"/>
      <c r="H25" s="22"/>
      <c r="I25" s="21"/>
      <c r="J25" s="582"/>
      <c r="K25" s="582"/>
      <c r="L25" s="582"/>
      <c r="M25" s="582"/>
      <c r="N25" s="150"/>
      <c r="O25" s="492"/>
      <c r="P25" s="450"/>
      <c r="Q25" s="483"/>
      <c r="R25" s="573"/>
      <c r="S25" s="450"/>
      <c r="T25" s="486"/>
      <c r="U25" s="483"/>
      <c r="V25" s="86"/>
      <c r="W25" s="85"/>
      <c r="X25" s="85"/>
      <c r="Y25" s="85"/>
      <c r="Z25" s="214"/>
      <c r="AA25" s="215"/>
      <c r="AB25" s="191"/>
      <c r="AC25" s="203">
        <f>SUM(V22:AA25)+Q22</f>
        <v>23.918604651162791</v>
      </c>
    </row>
    <row r="26" spans="1:29" ht="19.5" customHeight="1" thickTop="1" thickBot="1">
      <c r="A26" s="184"/>
      <c r="B26" s="511">
        <v>42895</v>
      </c>
      <c r="C26" s="449" t="s">
        <v>16</v>
      </c>
      <c r="D26" s="468" t="s">
        <v>17</v>
      </c>
      <c r="E26" s="531"/>
      <c r="F26" s="531"/>
      <c r="G26" s="579">
        <f>13*120</f>
        <v>1560</v>
      </c>
      <c r="H26" s="531"/>
      <c r="I26" s="21"/>
      <c r="J26" s="581">
        <f t="shared" si="2"/>
        <v>702</v>
      </c>
      <c r="K26" s="581">
        <f t="shared" si="2"/>
        <v>418.548</v>
      </c>
      <c r="L26" s="581">
        <f t="shared" si="2"/>
        <v>417.92400000000004</v>
      </c>
      <c r="M26" s="581">
        <f t="shared" si="2"/>
        <v>21.527999999999999</v>
      </c>
      <c r="N26" s="576"/>
      <c r="O26" s="21"/>
      <c r="P26" s="449">
        <f>SUM(E26:H29)</f>
        <v>1560</v>
      </c>
      <c r="Q26" s="479">
        <f>P26*R7/D5</f>
        <v>3.6279069767441858</v>
      </c>
      <c r="R26" s="574">
        <f>Q26/R7</f>
        <v>0.15116279069767441</v>
      </c>
      <c r="S26" s="449">
        <f>D5-P26</f>
        <v>8760</v>
      </c>
      <c r="T26" s="476">
        <f>S26/D5</f>
        <v>0.84883720930232553</v>
      </c>
      <c r="U26" s="183"/>
      <c r="V26" s="142"/>
      <c r="W26" s="142"/>
      <c r="X26" s="142"/>
      <c r="Y26" s="142"/>
      <c r="Z26" s="142"/>
      <c r="AA26" s="142"/>
      <c r="AB26" s="189"/>
      <c r="AC26" s="203"/>
    </row>
    <row r="27" spans="1:29" ht="19.5" customHeight="1" thickTop="1">
      <c r="A27" s="510" t="s">
        <v>25</v>
      </c>
      <c r="B27" s="512"/>
      <c r="C27" s="467"/>
      <c r="D27" s="469"/>
      <c r="E27" s="532"/>
      <c r="F27" s="532"/>
      <c r="G27" s="580"/>
      <c r="H27" s="532"/>
      <c r="I27" s="21"/>
      <c r="J27" s="582"/>
      <c r="K27" s="582"/>
      <c r="L27" s="582"/>
      <c r="M27" s="582"/>
      <c r="N27" s="585"/>
      <c r="O27" s="21"/>
      <c r="P27" s="450"/>
      <c r="Q27" s="480"/>
      <c r="R27" s="573"/>
      <c r="S27" s="450"/>
      <c r="T27" s="477"/>
      <c r="U27" s="479">
        <f>Y27+Y29+Q26</f>
        <v>3.6279069767441858</v>
      </c>
      <c r="V27" s="139"/>
      <c r="W27" s="139"/>
      <c r="X27" s="139"/>
      <c r="Y27" s="139"/>
      <c r="Z27" s="139"/>
      <c r="AA27" s="139"/>
      <c r="AB27" s="190"/>
      <c r="AC27" s="203"/>
    </row>
    <row r="28" spans="1:29" ht="19.5" customHeight="1" thickBot="1">
      <c r="A28" s="510"/>
      <c r="B28" s="512"/>
      <c r="C28" s="495" t="s">
        <v>19</v>
      </c>
      <c r="D28" s="493" t="s">
        <v>22</v>
      </c>
      <c r="E28" s="40"/>
      <c r="F28" s="40"/>
      <c r="G28" s="583">
        <v>0</v>
      </c>
      <c r="H28" s="40"/>
      <c r="I28" s="21"/>
      <c r="J28" s="584">
        <f t="shared" si="2"/>
        <v>0</v>
      </c>
      <c r="K28" s="584">
        <f t="shared" si="2"/>
        <v>0</v>
      </c>
      <c r="L28" s="584">
        <f t="shared" si="2"/>
        <v>0</v>
      </c>
      <c r="M28" s="584">
        <f t="shared" si="2"/>
        <v>0</v>
      </c>
      <c r="N28" s="44"/>
      <c r="O28" s="21"/>
      <c r="P28" s="450"/>
      <c r="Q28" s="480"/>
      <c r="R28" s="573"/>
      <c r="S28" s="450"/>
      <c r="T28" s="477"/>
      <c r="U28" s="450"/>
      <c r="V28" s="139"/>
      <c r="W28" s="139"/>
      <c r="X28" s="139"/>
      <c r="Y28" s="266">
        <v>20.5</v>
      </c>
      <c r="Z28" s="102"/>
      <c r="AA28" s="102"/>
      <c r="AB28" s="201" t="s">
        <v>51</v>
      </c>
      <c r="AC28" s="203">
        <f>SUM(V26:AA29)+Q26</f>
        <v>24.127906976744185</v>
      </c>
    </row>
    <row r="29" spans="1:29" ht="19.5" customHeight="1" thickTop="1" thickBot="1">
      <c r="A29" s="510"/>
      <c r="B29" s="513"/>
      <c r="C29" s="451"/>
      <c r="D29" s="494"/>
      <c r="E29" s="22"/>
      <c r="F29" s="22"/>
      <c r="G29" s="580"/>
      <c r="H29" s="22"/>
      <c r="I29" s="21"/>
      <c r="J29" s="582"/>
      <c r="K29" s="582"/>
      <c r="L29" s="582"/>
      <c r="M29" s="582"/>
      <c r="N29" s="150"/>
      <c r="O29" s="23"/>
      <c r="P29" s="451"/>
      <c r="Q29" s="481"/>
      <c r="R29" s="554"/>
      <c r="S29" s="451"/>
      <c r="T29" s="478"/>
      <c r="U29" s="451"/>
      <c r="V29" s="85"/>
      <c r="W29" s="85"/>
      <c r="X29" s="85"/>
      <c r="Y29" s="85"/>
      <c r="Z29" s="193"/>
      <c r="AA29" s="193"/>
      <c r="AB29" s="191"/>
      <c r="AC29" s="203"/>
    </row>
    <row r="30" spans="1:29" ht="15.75" customHeight="1" thickTop="1" thickBot="1">
      <c r="A30" s="184"/>
      <c r="B30" s="511">
        <v>42896</v>
      </c>
      <c r="C30" s="449" t="s">
        <v>16</v>
      </c>
      <c r="D30" s="468" t="s">
        <v>17</v>
      </c>
      <c r="E30" s="531"/>
      <c r="F30" s="531"/>
      <c r="G30" s="579">
        <v>0</v>
      </c>
      <c r="H30" s="531"/>
      <c r="I30" s="448"/>
      <c r="J30" s="490">
        <f>$F30*J$4</f>
        <v>0</v>
      </c>
      <c r="K30" s="490">
        <f>$F30*K$4</f>
        <v>0</v>
      </c>
      <c r="L30" s="490">
        <f>$F30*L$4</f>
        <v>0</v>
      </c>
      <c r="M30" s="490">
        <f>$F30*M$4</f>
        <v>0</v>
      </c>
      <c r="N30" s="601">
        <f>$F30*N$4</f>
        <v>0</v>
      </c>
      <c r="O30" s="448"/>
      <c r="P30" s="449">
        <f>SUM(E30:H33)</f>
        <v>1080</v>
      </c>
      <c r="Q30" s="479">
        <f>P30*R7/D5</f>
        <v>2.5116279069767442</v>
      </c>
      <c r="R30" s="574">
        <f>Q30/R7</f>
        <v>0.10465116279069768</v>
      </c>
      <c r="S30" s="449">
        <f>D5-P30</f>
        <v>9240</v>
      </c>
      <c r="T30" s="458">
        <f>S30/D5</f>
        <v>0.89534883720930236</v>
      </c>
      <c r="U30" s="181"/>
      <c r="V30" s="142"/>
      <c r="W30" s="142"/>
      <c r="X30" s="142"/>
      <c r="Y30" s="142"/>
      <c r="Z30" s="142"/>
      <c r="AA30" s="142"/>
      <c r="AB30" s="189"/>
      <c r="AC30" s="203"/>
    </row>
    <row r="31" spans="1:29" ht="15.75" customHeight="1" thickTop="1">
      <c r="A31" s="510" t="s">
        <v>26</v>
      </c>
      <c r="B31" s="512"/>
      <c r="C31" s="467"/>
      <c r="D31" s="469"/>
      <c r="E31" s="532"/>
      <c r="F31" s="532"/>
      <c r="G31" s="580"/>
      <c r="H31" s="532"/>
      <c r="I31" s="448"/>
      <c r="J31" s="475"/>
      <c r="K31" s="475"/>
      <c r="L31" s="475"/>
      <c r="M31" s="475"/>
      <c r="N31" s="536"/>
      <c r="O31" s="448"/>
      <c r="P31" s="450"/>
      <c r="Q31" s="480"/>
      <c r="R31" s="573"/>
      <c r="S31" s="450"/>
      <c r="T31" s="459"/>
      <c r="U31" s="479">
        <f>Q30+Y32</f>
        <v>24.011627906976745</v>
      </c>
      <c r="V31" s="139"/>
      <c r="W31" s="139"/>
      <c r="X31" s="139"/>
      <c r="Y31" s="139"/>
      <c r="Z31" s="139"/>
      <c r="AA31" s="139"/>
      <c r="AB31" s="190"/>
      <c r="AC31" s="203"/>
    </row>
    <row r="32" spans="1:29" ht="15.75" customHeight="1">
      <c r="A32" s="510"/>
      <c r="B32" s="512"/>
      <c r="C32" s="495" t="s">
        <v>19</v>
      </c>
      <c r="D32" s="493" t="s">
        <v>22</v>
      </c>
      <c r="E32" s="40"/>
      <c r="F32" s="40"/>
      <c r="G32" s="583">
        <f>9*120</f>
        <v>1080</v>
      </c>
      <c r="H32" s="40"/>
      <c r="I32" s="42"/>
      <c r="J32" s="584">
        <f t="shared" ref="J32:M32" si="3">$G32*J$5</f>
        <v>486</v>
      </c>
      <c r="K32" s="584">
        <f t="shared" si="3"/>
        <v>289.76400000000001</v>
      </c>
      <c r="L32" s="584">
        <f t="shared" si="3"/>
        <v>289.33200000000005</v>
      </c>
      <c r="M32" s="584">
        <f t="shared" si="3"/>
        <v>14.904</v>
      </c>
      <c r="N32" s="604">
        <f>$F32*N$4</f>
        <v>0</v>
      </c>
      <c r="O32" s="21"/>
      <c r="P32" s="450"/>
      <c r="Q32" s="480"/>
      <c r="R32" s="573"/>
      <c r="S32" s="450"/>
      <c r="T32" s="459"/>
      <c r="U32" s="480"/>
      <c r="V32" s="139"/>
      <c r="W32" s="139"/>
      <c r="X32" s="139"/>
      <c r="Y32" s="266">
        <v>21.5</v>
      </c>
      <c r="Z32" s="102"/>
      <c r="AA32" s="102"/>
      <c r="AB32" s="201" t="s">
        <v>51</v>
      </c>
      <c r="AC32" s="203">
        <f>SUM(V30:AA33)+Q30</f>
        <v>24.011627906976745</v>
      </c>
    </row>
    <row r="33" spans="1:29" ht="15.75" customHeight="1" thickBot="1">
      <c r="A33" s="510"/>
      <c r="B33" s="513"/>
      <c r="C33" s="451"/>
      <c r="D33" s="494"/>
      <c r="E33" s="22"/>
      <c r="F33" s="22"/>
      <c r="G33" s="580"/>
      <c r="H33" s="22"/>
      <c r="I33" s="158"/>
      <c r="J33" s="582"/>
      <c r="K33" s="582"/>
      <c r="L33" s="582"/>
      <c r="M33" s="582"/>
      <c r="N33" s="535"/>
      <c r="O33" s="21"/>
      <c r="P33" s="451"/>
      <c r="Q33" s="481"/>
      <c r="R33" s="554"/>
      <c r="S33" s="451"/>
      <c r="T33" s="460"/>
      <c r="U33" s="481"/>
      <c r="V33" s="85"/>
      <c r="W33" s="85"/>
      <c r="X33" s="85"/>
      <c r="Y33" s="85"/>
      <c r="Z33" s="193"/>
      <c r="AA33" s="193"/>
      <c r="AB33" s="191"/>
      <c r="AC33" s="203"/>
    </row>
    <row r="34" spans="1:29" ht="17.25" customHeight="1" thickTop="1" thickBot="1">
      <c r="A34" s="184"/>
      <c r="B34" s="521">
        <v>42897</v>
      </c>
      <c r="C34" s="544" t="s">
        <v>16</v>
      </c>
      <c r="D34" s="468" t="s">
        <v>17</v>
      </c>
      <c r="E34" s="531"/>
      <c r="F34" s="531"/>
      <c r="G34" s="579">
        <f>35*120</f>
        <v>4200</v>
      </c>
      <c r="H34" s="531"/>
      <c r="I34" s="21"/>
      <c r="J34" s="581">
        <f t="shared" ref="J34:M34" si="4">$G34*J$5</f>
        <v>1890</v>
      </c>
      <c r="K34" s="581">
        <f t="shared" si="4"/>
        <v>1126.8599999999999</v>
      </c>
      <c r="L34" s="581">
        <f t="shared" si="4"/>
        <v>1125.18</v>
      </c>
      <c r="M34" s="581">
        <f t="shared" si="4"/>
        <v>57.96</v>
      </c>
      <c r="N34" s="601">
        <f>$F34*N$4</f>
        <v>0</v>
      </c>
      <c r="O34" s="21"/>
      <c r="P34" s="449">
        <f>G34</f>
        <v>4200</v>
      </c>
      <c r="Q34" s="544">
        <f>P34*R6/D6</f>
        <v>9.7674418604651159</v>
      </c>
      <c r="R34" s="574">
        <f>Q34/R6</f>
        <v>0.81395348837209303</v>
      </c>
      <c r="S34" s="544">
        <f>D5-P34</f>
        <v>6120</v>
      </c>
      <c r="T34" s="565">
        <f>+S34/D5</f>
        <v>0.59302325581395354</v>
      </c>
      <c r="U34" s="161"/>
      <c r="V34" s="142"/>
      <c r="W34" s="142"/>
      <c r="X34" s="142"/>
      <c r="Y34" s="142"/>
      <c r="Z34" s="142"/>
      <c r="AA34" s="142"/>
      <c r="AB34" s="189"/>
      <c r="AC34" s="203"/>
    </row>
    <row r="35" spans="1:29" ht="17.25" customHeight="1" thickTop="1">
      <c r="A35" s="510" t="s">
        <v>28</v>
      </c>
      <c r="B35" s="593"/>
      <c r="C35" s="594"/>
      <c r="D35" s="469"/>
      <c r="E35" s="532"/>
      <c r="F35" s="532"/>
      <c r="G35" s="580"/>
      <c r="H35" s="532"/>
      <c r="I35" s="21"/>
      <c r="J35" s="582"/>
      <c r="K35" s="582"/>
      <c r="L35" s="582"/>
      <c r="M35" s="582"/>
      <c r="N35" s="536"/>
      <c r="O35" s="25"/>
      <c r="P35" s="450"/>
      <c r="Q35" s="590"/>
      <c r="R35" s="573"/>
      <c r="S35" s="590"/>
      <c r="T35" s="591"/>
      <c r="U35" s="49"/>
      <c r="V35" s="89"/>
      <c r="W35" s="139"/>
      <c r="X35" s="139"/>
      <c r="Y35" s="139"/>
      <c r="Z35" s="139"/>
      <c r="AA35" s="139"/>
      <c r="AB35" s="190"/>
      <c r="AC35" s="203"/>
    </row>
    <row r="36" spans="1:29" ht="17.25" customHeight="1">
      <c r="A36" s="510"/>
      <c r="B36" s="593"/>
      <c r="C36" s="592" t="s">
        <v>19</v>
      </c>
      <c r="D36" s="602" t="s">
        <v>22</v>
      </c>
      <c r="E36" s="40"/>
      <c r="F36" s="40"/>
      <c r="G36" s="40">
        <v>0</v>
      </c>
      <c r="H36" s="40"/>
      <c r="I36" s="21"/>
      <c r="J36" s="570">
        <f>$F36*J$4</f>
        <v>0</v>
      </c>
      <c r="K36" s="570">
        <f>$F36*K$4</f>
        <v>0</v>
      </c>
      <c r="L36" s="570">
        <f>$F36*L$4</f>
        <v>0</v>
      </c>
      <c r="M36" s="570">
        <f>$F36*M$4</f>
        <v>0</v>
      </c>
      <c r="N36" s="570">
        <f>$F36*N$4</f>
        <v>0</v>
      </c>
      <c r="O36" s="21"/>
      <c r="P36" s="450"/>
      <c r="Q36" s="590"/>
      <c r="R36" s="573"/>
      <c r="S36" s="590"/>
      <c r="T36" s="591"/>
      <c r="U36" s="163"/>
      <c r="V36" s="89"/>
      <c r="W36" s="139"/>
      <c r="X36" s="139"/>
      <c r="Y36" s="266">
        <v>2.25</v>
      </c>
      <c r="Z36" s="102"/>
      <c r="AA36" s="102"/>
      <c r="AB36" s="201" t="s">
        <v>51</v>
      </c>
      <c r="AC36" s="203">
        <f>SUM(V34:AA37)+Q34</f>
        <v>12.017441860465116</v>
      </c>
    </row>
    <row r="37" spans="1:29" ht="17.25" customHeight="1" thickBot="1">
      <c r="A37" s="510"/>
      <c r="B37" s="522"/>
      <c r="C37" s="545"/>
      <c r="D37" s="603"/>
      <c r="E37" s="22"/>
      <c r="F37" s="22"/>
      <c r="G37" s="22">
        <v>0</v>
      </c>
      <c r="H37" s="22"/>
      <c r="I37" s="21"/>
      <c r="J37" s="585"/>
      <c r="K37" s="585"/>
      <c r="L37" s="585"/>
      <c r="M37" s="585"/>
      <c r="N37" s="585"/>
      <c r="O37" s="23"/>
      <c r="P37" s="451"/>
      <c r="Q37" s="545"/>
      <c r="R37" s="554"/>
      <c r="S37" s="545"/>
      <c r="T37" s="566"/>
      <c r="U37" s="54"/>
      <c r="V37" s="85"/>
      <c r="W37" s="85"/>
      <c r="X37" s="85"/>
      <c r="Y37" s="85"/>
      <c r="Z37" s="85"/>
      <c r="AA37" s="263"/>
      <c r="AB37" s="191"/>
      <c r="AC37" s="203"/>
    </row>
    <row r="38" spans="1:29" ht="15.75" customHeight="1" thickTop="1">
      <c r="B38" s="516" t="s">
        <v>36</v>
      </c>
      <c r="C38" s="516"/>
      <c r="D38" s="516"/>
      <c r="J38" s="514">
        <f>SUM(J10:J37)</f>
        <v>12582</v>
      </c>
      <c r="K38" s="514">
        <f>SUM(K10:K37)</f>
        <v>7501.6679999999997</v>
      </c>
      <c r="L38" s="514">
        <f>SUM(L10:L37)</f>
        <v>7490.4840000000004</v>
      </c>
      <c r="M38" s="514">
        <f>SUM(M10:M37)</f>
        <v>385.84800000000001</v>
      </c>
      <c r="N38" s="514">
        <f>SUM(N10:N37)</f>
        <v>0</v>
      </c>
      <c r="Q38" s="83"/>
      <c r="AB38" s="192"/>
    </row>
    <row r="39" spans="1:29" ht="21" customHeight="1">
      <c r="B39" s="517"/>
      <c r="C39" s="517"/>
      <c r="D39" s="517"/>
      <c r="E39" s="59">
        <f>SUM(E11:E37)</f>
        <v>0</v>
      </c>
      <c r="F39" s="60">
        <f>SUM(F10:F36)</f>
        <v>0</v>
      </c>
      <c r="G39" s="61">
        <f t="shared" ref="G39:O39" si="5">SUM(G11:G37)</f>
        <v>27960</v>
      </c>
      <c r="H39" s="62">
        <f t="shared" si="5"/>
        <v>0</v>
      </c>
      <c r="I39" s="55"/>
      <c r="J39" s="515"/>
      <c r="K39" s="515"/>
      <c r="L39" s="515"/>
      <c r="M39" s="515"/>
      <c r="N39" s="515"/>
      <c r="O39" s="55">
        <f t="shared" si="5"/>
        <v>0</v>
      </c>
      <c r="Q39" s="80">
        <f t="shared" ref="Q39:U39" si="6">SUM(Q10:Q37)</f>
        <v>65.023255813953483</v>
      </c>
      <c r="R39" s="80"/>
      <c r="S39" s="80"/>
      <c r="T39" s="81" t="s">
        <v>35</v>
      </c>
      <c r="U39" s="80">
        <f t="shared" si="6"/>
        <v>69.779069767441854</v>
      </c>
      <c r="V39" s="80">
        <f>SUM(V10:V37)</f>
        <v>2</v>
      </c>
      <c r="W39" s="80">
        <f t="shared" ref="W39:AA39" si="7">SUM(W10:W37)</f>
        <v>0</v>
      </c>
      <c r="X39" s="80">
        <f t="shared" si="7"/>
        <v>0</v>
      </c>
      <c r="Y39" s="80">
        <f t="shared" si="7"/>
        <v>76.75</v>
      </c>
      <c r="Z39" s="80">
        <f t="shared" si="7"/>
        <v>0</v>
      </c>
      <c r="AA39" s="80">
        <f t="shared" si="7"/>
        <v>0.25</v>
      </c>
      <c r="AB39" s="55" t="s">
        <v>29</v>
      </c>
    </row>
    <row r="40" spans="1:29" ht="23.25">
      <c r="C40" s="56" t="s">
        <v>30</v>
      </c>
      <c r="D40" s="57"/>
      <c r="E40" s="595">
        <f>E39+F39+G39+H39</f>
        <v>27960</v>
      </c>
      <c r="F40" s="595"/>
      <c r="G40" s="595"/>
      <c r="H40" s="595"/>
      <c r="Q40" s="264"/>
      <c r="R40" s="245">
        <f>AVERAGE(R10:R37)</f>
        <v>0.44518272425249172</v>
      </c>
      <c r="S40" s="262"/>
      <c r="U40" s="78"/>
      <c r="V40" s="78"/>
      <c r="W40" s="78"/>
      <c r="X40" s="173"/>
      <c r="Y40" s="164"/>
      <c r="Z40" s="164"/>
      <c r="AA40" s="164"/>
      <c r="AB40" s="267"/>
    </row>
    <row r="41" spans="1:29" ht="18.75" customHeight="1">
      <c r="E41">
        <f>D5*6</f>
        <v>61920</v>
      </c>
      <c r="F41">
        <f>E40/(D5*6)</f>
        <v>0.45155038759689925</v>
      </c>
      <c r="Q41" s="76" t="s">
        <v>34</v>
      </c>
      <c r="S41" s="599">
        <f>K45*K46*K47</f>
        <v>0.4513888888888889</v>
      </c>
      <c r="T41" s="599"/>
    </row>
    <row r="42" spans="1:29" ht="23.25">
      <c r="F42" s="400"/>
      <c r="R42" s="76" t="s">
        <v>33</v>
      </c>
      <c r="U42" s="75">
        <f>V39/E3</f>
        <v>1.1904761904761904E-2</v>
      </c>
      <c r="V42" s="268">
        <f>V39/$E$4</f>
        <v>1.3888888888888888E-2</v>
      </c>
      <c r="W42" s="269">
        <f t="shared" ref="W42:AA42" si="8">W39/$E$4</f>
        <v>0</v>
      </c>
      <c r="X42" s="269">
        <f t="shared" si="8"/>
        <v>0</v>
      </c>
      <c r="Y42" s="269">
        <f t="shared" si="8"/>
        <v>0.53298611111111116</v>
      </c>
      <c r="Z42" s="269">
        <f t="shared" si="8"/>
        <v>0</v>
      </c>
      <c r="AA42" s="270">
        <f t="shared" si="8"/>
        <v>1.736111111111111E-3</v>
      </c>
    </row>
    <row r="43" spans="1:29">
      <c r="E43" s="72"/>
      <c r="G43" s="598"/>
      <c r="H43" s="5"/>
    </row>
    <row r="44" spans="1:29">
      <c r="E44" s="72"/>
      <c r="G44" s="598"/>
      <c r="H44" s="5"/>
    </row>
    <row r="45" spans="1:29" ht="15.75">
      <c r="D45" s="72" t="s">
        <v>103</v>
      </c>
      <c r="E45">
        <v>144</v>
      </c>
      <c r="G45" s="180" t="s">
        <v>70</v>
      </c>
      <c r="K45" s="176">
        <f>+E46/E45</f>
        <v>1</v>
      </c>
      <c r="M45"/>
      <c r="T45" s="596"/>
      <c r="U45" s="596"/>
      <c r="V45" s="596"/>
      <c r="Z45" s="188"/>
    </row>
    <row r="46" spans="1:29" ht="15.75">
      <c r="D46" s="72" t="s">
        <v>69</v>
      </c>
      <c r="E46" s="71">
        <f>E45-W39</f>
        <v>144</v>
      </c>
      <c r="G46" s="180" t="s">
        <v>71</v>
      </c>
      <c r="K46" s="401">
        <f>+E47/E46</f>
        <v>0.4513888888888889</v>
      </c>
      <c r="M46"/>
      <c r="T46" s="597"/>
      <c r="U46" s="597"/>
      <c r="V46" s="597"/>
      <c r="AB46" s="186"/>
    </row>
    <row r="47" spans="1:29" ht="15.75">
      <c r="D47" s="72" t="s">
        <v>68</v>
      </c>
      <c r="E47" s="71">
        <f>+E46--Z39-AA39-V39-Y39</f>
        <v>65</v>
      </c>
      <c r="G47" s="180" t="s">
        <v>104</v>
      </c>
      <c r="K47" s="176">
        <f>+E48/E47</f>
        <v>1</v>
      </c>
      <c r="L47"/>
      <c r="M47"/>
      <c r="P47"/>
      <c r="Q47"/>
      <c r="R47"/>
      <c r="S47"/>
      <c r="T47"/>
      <c r="U47"/>
      <c r="V47"/>
      <c r="W47"/>
      <c r="X47"/>
      <c r="Y47"/>
      <c r="Z47"/>
      <c r="AA47"/>
    </row>
    <row r="48" spans="1:29">
      <c r="D48" s="72" t="s">
        <v>72</v>
      </c>
      <c r="E48" s="71">
        <f>E47-X39</f>
        <v>65</v>
      </c>
      <c r="L48" s="69"/>
      <c r="M48" s="177"/>
      <c r="P48"/>
      <c r="Q48"/>
      <c r="R48"/>
      <c r="S48"/>
      <c r="T48"/>
      <c r="U48"/>
      <c r="V48"/>
      <c r="W48"/>
      <c r="X48"/>
      <c r="Y48"/>
      <c r="Z48"/>
      <c r="AA48"/>
    </row>
    <row r="49" spans="7:27" ht="15.75">
      <c r="G49" s="180"/>
      <c r="H49" s="67"/>
      <c r="J49"/>
      <c r="K49" s="66"/>
      <c r="L49"/>
      <c r="M49"/>
      <c r="P49"/>
      <c r="Q49"/>
      <c r="R49"/>
      <c r="S49"/>
      <c r="T49"/>
      <c r="U49"/>
      <c r="V49"/>
      <c r="W49"/>
      <c r="X49"/>
      <c r="Y49"/>
      <c r="Z49"/>
      <c r="AA49"/>
    </row>
    <row r="50" spans="7:27">
      <c r="H50" s="67"/>
      <c r="J50"/>
      <c r="K50" s="66"/>
      <c r="L50"/>
      <c r="M50"/>
      <c r="P50"/>
      <c r="Q50"/>
      <c r="R50"/>
      <c r="S50"/>
      <c r="T50"/>
      <c r="U50"/>
      <c r="V50"/>
      <c r="W50"/>
      <c r="X50"/>
      <c r="Y50"/>
      <c r="Z50"/>
      <c r="AA50"/>
    </row>
    <row r="51" spans="7:27">
      <c r="H51" s="66"/>
      <c r="J51"/>
      <c r="K51"/>
      <c r="L51"/>
      <c r="M51"/>
      <c r="P51"/>
      <c r="Q51"/>
      <c r="R51"/>
      <c r="S51"/>
      <c r="T51"/>
      <c r="U51"/>
      <c r="V51"/>
      <c r="W51"/>
      <c r="X51"/>
      <c r="Y51"/>
      <c r="Z51"/>
      <c r="AA51"/>
    </row>
    <row r="52" spans="7:27">
      <c r="J52"/>
      <c r="L52" s="73"/>
      <c r="M52"/>
      <c r="P52"/>
      <c r="Q52"/>
      <c r="R52"/>
      <c r="S52"/>
      <c r="T52"/>
      <c r="U52"/>
      <c r="V52"/>
      <c r="W52"/>
      <c r="X52"/>
      <c r="Y52"/>
      <c r="Z52"/>
      <c r="AA52"/>
    </row>
    <row r="53" spans="7:27">
      <c r="J53"/>
      <c r="M53"/>
      <c r="P53"/>
      <c r="Q53"/>
      <c r="R53"/>
      <c r="S53"/>
      <c r="T53"/>
      <c r="U53"/>
      <c r="V53"/>
      <c r="W53"/>
      <c r="X53"/>
      <c r="Y53"/>
      <c r="Z53"/>
      <c r="AA53"/>
    </row>
    <row r="54" spans="7:27">
      <c r="J54"/>
      <c r="L54" s="73"/>
    </row>
    <row r="55" spans="7:27" ht="18">
      <c r="H55" s="58"/>
    </row>
    <row r="56" spans="7:27">
      <c r="L56" s="178"/>
    </row>
    <row r="57" spans="7:27" ht="18">
      <c r="H57" s="58"/>
    </row>
  </sheetData>
  <mergeCells count="204">
    <mergeCell ref="G3:H3"/>
    <mergeCell ref="G4:H4"/>
    <mergeCell ref="G5:H5"/>
    <mergeCell ref="G6:H6"/>
    <mergeCell ref="B8:B9"/>
    <mergeCell ref="C8:C9"/>
    <mergeCell ref="D8:D9"/>
    <mergeCell ref="E8:H8"/>
    <mergeCell ref="V8:AA8"/>
    <mergeCell ref="J8:N8"/>
    <mergeCell ref="O8:O9"/>
    <mergeCell ref="R8:R9"/>
    <mergeCell ref="S8:T8"/>
    <mergeCell ref="B10:B13"/>
    <mergeCell ref="C10:C11"/>
    <mergeCell ref="F10:F11"/>
    <mergeCell ref="J10:J11"/>
    <mergeCell ref="K10:K11"/>
    <mergeCell ref="S10:S13"/>
    <mergeCell ref="T10:T13"/>
    <mergeCell ref="A11:A13"/>
    <mergeCell ref="U11:U13"/>
    <mergeCell ref="C12:C13"/>
    <mergeCell ref="D12:D13"/>
    <mergeCell ref="J12:J13"/>
    <mergeCell ref="K12:K13"/>
    <mergeCell ref="L12:L13"/>
    <mergeCell ref="L10:L11"/>
    <mergeCell ref="M10:M11"/>
    <mergeCell ref="N10:N11"/>
    <mergeCell ref="P10:P13"/>
    <mergeCell ref="Q10:Q13"/>
    <mergeCell ref="R10:R13"/>
    <mergeCell ref="M12:M13"/>
    <mergeCell ref="Q14:Q17"/>
    <mergeCell ref="R14:R17"/>
    <mergeCell ref="S14:S17"/>
    <mergeCell ref="T14:T17"/>
    <mergeCell ref="U15:U17"/>
    <mergeCell ref="J14:J15"/>
    <mergeCell ref="K14:K15"/>
    <mergeCell ref="L14:L15"/>
    <mergeCell ref="M14:M15"/>
    <mergeCell ref="N14:N15"/>
    <mergeCell ref="O14:O17"/>
    <mergeCell ref="J16:J17"/>
    <mergeCell ref="K16:K17"/>
    <mergeCell ref="L16:L17"/>
    <mergeCell ref="M16:M17"/>
    <mergeCell ref="A18:A21"/>
    <mergeCell ref="B18:B21"/>
    <mergeCell ref="C18:C19"/>
    <mergeCell ref="I18:I21"/>
    <mergeCell ref="J18:J19"/>
    <mergeCell ref="K18:K19"/>
    <mergeCell ref="L18:L19"/>
    <mergeCell ref="M18:M19"/>
    <mergeCell ref="P14:P17"/>
    <mergeCell ref="A14:A17"/>
    <mergeCell ref="B14:B17"/>
    <mergeCell ref="C14:C15"/>
    <mergeCell ref="D14:D15"/>
    <mergeCell ref="I14:I17"/>
    <mergeCell ref="C16:C17"/>
    <mergeCell ref="D16:D17"/>
    <mergeCell ref="G14:G15"/>
    <mergeCell ref="G16:G17"/>
    <mergeCell ref="U19:U21"/>
    <mergeCell ref="C20:C21"/>
    <mergeCell ref="D20:D21"/>
    <mergeCell ref="B22:B25"/>
    <mergeCell ref="C22:C23"/>
    <mergeCell ref="D22:D23"/>
    <mergeCell ref="G22:G23"/>
    <mergeCell ref="I22:I23"/>
    <mergeCell ref="J22:J23"/>
    <mergeCell ref="N18:N19"/>
    <mergeCell ref="O18:O21"/>
    <mergeCell ref="P18:P21"/>
    <mergeCell ref="Q18:Q21"/>
    <mergeCell ref="R18:R21"/>
    <mergeCell ref="S18:S21"/>
    <mergeCell ref="G24:G25"/>
    <mergeCell ref="D18:D19"/>
    <mergeCell ref="G18:G19"/>
    <mergeCell ref="G20:G21"/>
    <mergeCell ref="J20:J21"/>
    <mergeCell ref="A23:A25"/>
    <mergeCell ref="U23:U25"/>
    <mergeCell ref="C24:C25"/>
    <mergeCell ref="D24:D25"/>
    <mergeCell ref="J24:J25"/>
    <mergeCell ref="K22:K23"/>
    <mergeCell ref="L22:L23"/>
    <mergeCell ref="M22:M23"/>
    <mergeCell ref="N22:N23"/>
    <mergeCell ref="O22:O25"/>
    <mergeCell ref="P22:P25"/>
    <mergeCell ref="K24:K25"/>
    <mergeCell ref="L24:L25"/>
    <mergeCell ref="M24:M25"/>
    <mergeCell ref="E22:E23"/>
    <mergeCell ref="F22:F23"/>
    <mergeCell ref="H22:H23"/>
    <mergeCell ref="M28:M29"/>
    <mergeCell ref="H26:H27"/>
    <mergeCell ref="J26:J27"/>
    <mergeCell ref="K26:K27"/>
    <mergeCell ref="L26:L27"/>
    <mergeCell ref="M26:M27"/>
    <mergeCell ref="N26:N27"/>
    <mergeCell ref="B26:B29"/>
    <mergeCell ref="C26:C27"/>
    <mergeCell ref="D26:D27"/>
    <mergeCell ref="E26:E27"/>
    <mergeCell ref="F26:F27"/>
    <mergeCell ref="G26:G27"/>
    <mergeCell ref="G28:G29"/>
    <mergeCell ref="C28:C29"/>
    <mergeCell ref="D28:D29"/>
    <mergeCell ref="J28:J29"/>
    <mergeCell ref="K28:K29"/>
    <mergeCell ref="L28:L29"/>
    <mergeCell ref="D30:D31"/>
    <mergeCell ref="E30:E31"/>
    <mergeCell ref="F30:F31"/>
    <mergeCell ref="G30:G31"/>
    <mergeCell ref="H30:H31"/>
    <mergeCell ref="G32:G33"/>
    <mergeCell ref="D34:D35"/>
    <mergeCell ref="F34:F35"/>
    <mergeCell ref="A27:A29"/>
    <mergeCell ref="J34:J35"/>
    <mergeCell ref="K34:K35"/>
    <mergeCell ref="G34:G35"/>
    <mergeCell ref="H34:H35"/>
    <mergeCell ref="A31:A33"/>
    <mergeCell ref="U31:U33"/>
    <mergeCell ref="C32:C33"/>
    <mergeCell ref="D32:D33"/>
    <mergeCell ref="J32:J33"/>
    <mergeCell ref="K32:K33"/>
    <mergeCell ref="L32:L33"/>
    <mergeCell ref="M32:M33"/>
    <mergeCell ref="N32:N33"/>
    <mergeCell ref="O30:O31"/>
    <mergeCell ref="P30:P33"/>
    <mergeCell ref="Q30:Q33"/>
    <mergeCell ref="R30:R33"/>
    <mergeCell ref="S30:S33"/>
    <mergeCell ref="T30:T33"/>
    <mergeCell ref="I30:I31"/>
    <mergeCell ref="J30:J31"/>
    <mergeCell ref="K30:K31"/>
    <mergeCell ref="B30:B33"/>
    <mergeCell ref="C30:C31"/>
    <mergeCell ref="B38:D39"/>
    <mergeCell ref="J38:J39"/>
    <mergeCell ref="K38:K39"/>
    <mergeCell ref="L38:L39"/>
    <mergeCell ref="M38:M39"/>
    <mergeCell ref="N38:N39"/>
    <mergeCell ref="S34:S37"/>
    <mergeCell ref="T34:T37"/>
    <mergeCell ref="A35:A37"/>
    <mergeCell ref="C36:C37"/>
    <mergeCell ref="D36:D37"/>
    <mergeCell ref="J36:J37"/>
    <mergeCell ref="K36:K37"/>
    <mergeCell ref="L36:L37"/>
    <mergeCell ref="M36:M37"/>
    <mergeCell ref="L34:L35"/>
    <mergeCell ref="M34:M35"/>
    <mergeCell ref="N34:N35"/>
    <mergeCell ref="P34:P37"/>
    <mergeCell ref="Q34:Q37"/>
    <mergeCell ref="R34:R37"/>
    <mergeCell ref="N36:N37"/>
    <mergeCell ref="B34:B37"/>
    <mergeCell ref="C34:C35"/>
    <mergeCell ref="E40:H40"/>
    <mergeCell ref="S41:T41"/>
    <mergeCell ref="G43:G44"/>
    <mergeCell ref="T45:V45"/>
    <mergeCell ref="T46:V46"/>
    <mergeCell ref="G12:G13"/>
    <mergeCell ref="K20:K21"/>
    <mergeCell ref="L20:L21"/>
    <mergeCell ref="M20:M21"/>
    <mergeCell ref="E34:E35"/>
    <mergeCell ref="L30:L31"/>
    <mergeCell ref="M30:M31"/>
    <mergeCell ref="N30:N31"/>
    <mergeCell ref="U27:U29"/>
    <mergeCell ref="P26:P29"/>
    <mergeCell ref="Q26:Q29"/>
    <mergeCell ref="R26:R29"/>
    <mergeCell ref="S26:S29"/>
    <mergeCell ref="T26:T29"/>
    <mergeCell ref="Q22:Q25"/>
    <mergeCell ref="R22:R25"/>
    <mergeCell ref="S22:S25"/>
    <mergeCell ref="T22:T25"/>
    <mergeCell ref="T18:T2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57"/>
  <sheetViews>
    <sheetView showGridLines="0" topLeftCell="C1" zoomScale="90" zoomScaleNormal="90" workbookViewId="0">
      <pane ySplit="9" topLeftCell="A40" activePane="bottomLeft" state="frozen"/>
      <selection activeCell="C1" sqref="C1"/>
      <selection pane="bottomLeft" activeCell="F42" sqref="F42"/>
    </sheetView>
  </sheetViews>
  <sheetFormatPr baseColWidth="10" defaultRowHeight="15"/>
  <cols>
    <col min="1" max="1" width="6" customWidth="1"/>
    <col min="2" max="2" width="10.28515625" customWidth="1"/>
    <col min="4" max="4" width="13.5703125" customWidth="1"/>
    <col min="5" max="7" width="8.5703125" customWidth="1"/>
    <col min="8" max="8" width="9.5703125" customWidth="1"/>
    <col min="9" max="9" width="1.140625" customWidth="1"/>
    <col min="10" max="13" width="9.28515625" style="5" customWidth="1"/>
    <col min="14" max="14" width="9.28515625" customWidth="1"/>
    <col min="15" max="15" width="1.140625" customWidth="1"/>
    <col min="16" max="16" width="8.85546875" style="3" customWidth="1"/>
    <col min="17" max="17" width="9" style="3" customWidth="1"/>
    <col min="18" max="20" width="9.5703125" style="3" customWidth="1"/>
    <col min="21" max="21" width="9" style="3" hidden="1" customWidth="1"/>
    <col min="22" max="28" width="8.42578125" style="3" customWidth="1"/>
    <col min="29" max="29" width="45.7109375" style="4" customWidth="1"/>
    <col min="30" max="30" width="11.42578125" style="202"/>
  </cols>
  <sheetData>
    <row r="1" spans="1:31">
      <c r="L1"/>
      <c r="M1"/>
    </row>
    <row r="2" spans="1:31">
      <c r="J2" s="5" t="str">
        <f>J9</f>
        <v>Résine</v>
      </c>
      <c r="K2" s="5" t="str">
        <f>K9</f>
        <v xml:space="preserve">Charge </v>
      </c>
      <c r="L2" t="str">
        <f>L9</f>
        <v>DOP</v>
      </c>
      <c r="M2" t="str">
        <f>M9</f>
        <v>Stab.</v>
      </c>
      <c r="N2" s="5" t="s">
        <v>14</v>
      </c>
      <c r="O2" s="135"/>
      <c r="Q2" s="134"/>
      <c r="S2" s="128"/>
      <c r="T2" s="128"/>
      <c r="U2" s="134"/>
      <c r="V2" s="134"/>
      <c r="W2" s="134"/>
      <c r="X2" s="134"/>
      <c r="Y2" s="134"/>
      <c r="Z2" s="134"/>
      <c r="AA2" s="134"/>
      <c r="AB2" s="134"/>
    </row>
    <row r="3" spans="1:31" ht="15.75" customHeight="1">
      <c r="B3" t="s">
        <v>67</v>
      </c>
      <c r="D3" s="170" t="s">
        <v>64</v>
      </c>
      <c r="E3" s="171">
        <v>168</v>
      </c>
      <c r="F3" t="s">
        <v>66</v>
      </c>
      <c r="G3" s="537" t="str">
        <f>E9</f>
        <v>PVC Isolat°</v>
      </c>
      <c r="H3" s="537"/>
      <c r="I3" s="133"/>
      <c r="J3" s="1">
        <v>0.46</v>
      </c>
      <c r="K3" s="2">
        <v>0.30620000000000003</v>
      </c>
      <c r="L3" s="2">
        <v>0.22</v>
      </c>
      <c r="M3" s="2">
        <v>1.38E-2</v>
      </c>
      <c r="N3" s="6"/>
      <c r="O3" s="11"/>
      <c r="P3" s="605"/>
      <c r="Q3" s="605"/>
      <c r="R3" s="7"/>
      <c r="S3" s="128"/>
      <c r="T3" s="128"/>
      <c r="U3" s="132"/>
      <c r="V3" s="132"/>
      <c r="W3" s="132"/>
      <c r="X3" s="132"/>
      <c r="Y3" s="132"/>
      <c r="Z3" s="132"/>
      <c r="AA3" s="132"/>
      <c r="AB3" s="132"/>
    </row>
    <row r="4" spans="1:31" ht="15.75" customHeight="1">
      <c r="B4" t="s">
        <v>63</v>
      </c>
      <c r="D4" s="170" t="s">
        <v>93</v>
      </c>
      <c r="E4">
        <v>144</v>
      </c>
      <c r="F4" t="s">
        <v>66</v>
      </c>
      <c r="G4" s="538" t="str">
        <f>F9</f>
        <v>PVC Gris</v>
      </c>
      <c r="H4" s="538"/>
      <c r="I4" s="131"/>
      <c r="J4" s="8">
        <v>0.45</v>
      </c>
      <c r="K4" s="8">
        <v>0.26829999999999998</v>
      </c>
      <c r="L4" s="8">
        <v>0.26790000000000003</v>
      </c>
      <c r="M4" s="8">
        <v>1.38E-2</v>
      </c>
      <c r="N4" s="8">
        <v>7.4000000000000003E-3</v>
      </c>
      <c r="O4" s="130"/>
      <c r="P4" s="605"/>
      <c r="Q4" s="605"/>
      <c r="R4" s="128"/>
    </row>
    <row r="5" spans="1:31" ht="15.75" customHeight="1">
      <c r="B5" t="s">
        <v>62</v>
      </c>
      <c r="D5" s="172">
        <v>10320</v>
      </c>
      <c r="E5" t="s">
        <v>61</v>
      </c>
      <c r="G5" s="539" t="str">
        <f>G9</f>
        <v>PVC Gainage</v>
      </c>
      <c r="H5" s="539"/>
      <c r="I5" s="129"/>
      <c r="J5" s="9">
        <v>0.45</v>
      </c>
      <c r="K5" s="9">
        <v>0.26829999999999998</v>
      </c>
      <c r="L5" s="9">
        <v>0.26790000000000003</v>
      </c>
      <c r="M5" s="9">
        <v>1.38E-2</v>
      </c>
      <c r="N5" s="6"/>
      <c r="O5" s="11"/>
      <c r="P5" s="605"/>
      <c r="Q5" s="605"/>
      <c r="R5" s="128"/>
      <c r="X5" s="127"/>
    </row>
    <row r="6" spans="1:31" ht="15.75" customHeight="1">
      <c r="D6">
        <f>D5/2</f>
        <v>5160</v>
      </c>
      <c r="E6" t="s">
        <v>83</v>
      </c>
      <c r="G6" s="540" t="str">
        <f>H9</f>
        <v>PVC Bourrage</v>
      </c>
      <c r="H6" s="540"/>
      <c r="I6" s="126"/>
      <c r="J6" s="10">
        <v>0.35320000000000001</v>
      </c>
      <c r="K6" s="10">
        <v>0.42420000000000002</v>
      </c>
      <c r="L6" s="10">
        <v>0.21199999999999999</v>
      </c>
      <c r="M6" s="10">
        <v>1.06E-2</v>
      </c>
      <c r="N6" s="6"/>
      <c r="O6" s="11"/>
      <c r="P6" s="605"/>
      <c r="Q6" s="605"/>
      <c r="R6" s="3">
        <v>12</v>
      </c>
      <c r="T6" s="7"/>
      <c r="U6" s="125"/>
      <c r="V6" s="125"/>
      <c r="W6" s="125"/>
      <c r="X6" s="125"/>
      <c r="Y6" s="125"/>
      <c r="Z6" s="125"/>
      <c r="AA6" s="125"/>
      <c r="AB6" s="125"/>
    </row>
    <row r="7" spans="1:31" s="11" customFormat="1">
      <c r="H7" s="12"/>
      <c r="Q7" s="125"/>
      <c r="R7" s="124">
        <v>24</v>
      </c>
      <c r="T7" s="3"/>
      <c r="U7" s="13"/>
      <c r="V7" s="13"/>
      <c r="W7" s="13"/>
      <c r="X7" s="13"/>
      <c r="Y7" s="13"/>
      <c r="Z7" s="13"/>
      <c r="AA7" s="13"/>
      <c r="AB7" s="13"/>
      <c r="AC7" s="14"/>
      <c r="AD7" s="12"/>
    </row>
    <row r="8" spans="1:31" ht="18.75" customHeight="1">
      <c r="B8" s="505" t="s">
        <v>0</v>
      </c>
      <c r="C8" s="505" t="s">
        <v>1</v>
      </c>
      <c r="D8" s="505" t="s">
        <v>2</v>
      </c>
      <c r="E8" s="509" t="s">
        <v>3</v>
      </c>
      <c r="F8" s="509"/>
      <c r="G8" s="509"/>
      <c r="H8" s="546"/>
      <c r="I8" s="15"/>
      <c r="J8" s="508" t="s">
        <v>4</v>
      </c>
      <c r="K8" s="509"/>
      <c r="L8" s="509"/>
      <c r="M8" s="509"/>
      <c r="N8" s="509"/>
      <c r="O8" s="506"/>
      <c r="P8" s="123" t="s">
        <v>49</v>
      </c>
      <c r="Q8" s="122" t="s">
        <v>48</v>
      </c>
      <c r="R8" s="541" t="s">
        <v>47</v>
      </c>
      <c r="S8" s="568" t="s">
        <v>46</v>
      </c>
      <c r="T8" s="568"/>
      <c r="V8" s="550" t="s">
        <v>33</v>
      </c>
      <c r="W8" s="551"/>
      <c r="X8" s="551"/>
      <c r="Y8" s="551"/>
      <c r="Z8" s="551"/>
      <c r="AA8" s="551"/>
      <c r="AB8" s="552"/>
      <c r="AC8" s="121"/>
    </row>
    <row r="9" spans="1:31" ht="35.25" customHeight="1">
      <c r="B9" s="505"/>
      <c r="C9" s="505"/>
      <c r="D9" s="505"/>
      <c r="E9" s="120" t="s">
        <v>6</v>
      </c>
      <c r="F9" s="119" t="s">
        <v>7</v>
      </c>
      <c r="G9" s="118" t="s">
        <v>8</v>
      </c>
      <c r="H9" s="117" t="s">
        <v>9</v>
      </c>
      <c r="I9" s="16"/>
      <c r="J9" s="17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507"/>
      <c r="P9" s="116" t="s">
        <v>45</v>
      </c>
      <c r="Q9" s="116" t="s">
        <v>44</v>
      </c>
      <c r="R9" s="542"/>
      <c r="S9" s="115" t="s">
        <v>43</v>
      </c>
      <c r="T9" s="114" t="s">
        <v>42</v>
      </c>
      <c r="U9" s="64"/>
      <c r="V9" s="204" t="s">
        <v>41</v>
      </c>
      <c r="W9" s="205" t="s">
        <v>40</v>
      </c>
      <c r="X9" s="206" t="s">
        <v>39</v>
      </c>
      <c r="Y9" s="207" t="s">
        <v>75</v>
      </c>
      <c r="Z9" s="208" t="s">
        <v>76</v>
      </c>
      <c r="AA9" s="291" t="s">
        <v>77</v>
      </c>
      <c r="AB9" s="292" t="s">
        <v>88</v>
      </c>
      <c r="AC9" s="136" t="s">
        <v>5</v>
      </c>
    </row>
    <row r="10" spans="1:31" ht="17.25" customHeight="1">
      <c r="B10" s="560">
        <v>42898</v>
      </c>
      <c r="C10" s="495" t="s">
        <v>16</v>
      </c>
      <c r="D10" s="137"/>
      <c r="E10" s="19"/>
      <c r="F10" s="569"/>
      <c r="G10" s="19"/>
      <c r="H10" s="19"/>
      <c r="I10" s="138"/>
      <c r="J10" s="570"/>
      <c r="K10" s="570"/>
      <c r="L10" s="570"/>
      <c r="M10" s="570"/>
      <c r="N10" s="570"/>
      <c r="O10" s="21"/>
      <c r="P10" s="495">
        <f>G12</f>
        <v>3240</v>
      </c>
      <c r="Q10" s="562">
        <f>P10*R7/D5</f>
        <v>7.5348837209302326</v>
      </c>
      <c r="R10" s="563">
        <f>+Q10/R7</f>
        <v>0.31395348837209303</v>
      </c>
      <c r="S10" s="495">
        <f>D5-P10</f>
        <v>7080</v>
      </c>
      <c r="T10" s="567">
        <f>S10/D5</f>
        <v>0.68604651162790697</v>
      </c>
      <c r="U10" s="113"/>
      <c r="V10" s="112">
        <v>2</v>
      </c>
      <c r="W10" s="216"/>
      <c r="X10" s="216"/>
      <c r="Y10" s="216"/>
      <c r="Z10" s="216"/>
      <c r="AA10" s="216"/>
      <c r="AB10" s="217"/>
      <c r="AC10" s="284" t="s">
        <v>73</v>
      </c>
    </row>
    <row r="11" spans="1:31" ht="17.25" customHeight="1">
      <c r="A11" s="510" t="s">
        <v>15</v>
      </c>
      <c r="B11" s="512"/>
      <c r="C11" s="467"/>
      <c r="D11" s="137"/>
      <c r="E11" s="19"/>
      <c r="F11" s="471"/>
      <c r="G11" s="19"/>
      <c r="H11" s="19"/>
      <c r="I11" s="138"/>
      <c r="J11" s="571"/>
      <c r="K11" s="571"/>
      <c r="L11" s="571"/>
      <c r="M11" s="571"/>
      <c r="N11" s="571"/>
      <c r="O11" s="21"/>
      <c r="P11" s="450"/>
      <c r="Q11" s="453"/>
      <c r="R11" s="456"/>
      <c r="S11" s="450"/>
      <c r="T11" s="477"/>
      <c r="U11" s="564">
        <f>Q10+Y13</f>
        <v>7.5348837209302326</v>
      </c>
      <c r="V11" s="89"/>
      <c r="W11" s="210"/>
      <c r="X11" s="210"/>
      <c r="Y11" s="210"/>
      <c r="Z11" s="210"/>
      <c r="AA11" s="210"/>
      <c r="AB11" s="194"/>
      <c r="AC11" s="285"/>
    </row>
    <row r="12" spans="1:31" ht="17.25" customHeight="1" thickBot="1">
      <c r="A12" s="510"/>
      <c r="B12" s="512"/>
      <c r="C12" s="495" t="s">
        <v>19</v>
      </c>
      <c r="D12" s="493" t="s">
        <v>17</v>
      </c>
      <c r="E12" s="19"/>
      <c r="F12" s="19"/>
      <c r="G12" s="583">
        <f>27*120</f>
        <v>3240</v>
      </c>
      <c r="H12" s="19"/>
      <c r="I12" s="21"/>
      <c r="J12" s="584">
        <f>$G12*J$5</f>
        <v>1458</v>
      </c>
      <c r="K12" s="584">
        <f>$G12*K$5</f>
        <v>869.29199999999992</v>
      </c>
      <c r="L12" s="584">
        <f>$G12*L$5</f>
        <v>867.99600000000009</v>
      </c>
      <c r="M12" s="584">
        <f>$G12*M$5</f>
        <v>44.711999999999996</v>
      </c>
      <c r="N12" s="44"/>
      <c r="O12" s="21"/>
      <c r="P12" s="450"/>
      <c r="Q12" s="453"/>
      <c r="R12" s="456"/>
      <c r="S12" s="450"/>
      <c r="T12" s="477"/>
      <c r="U12" s="480"/>
      <c r="V12" s="89"/>
      <c r="W12" s="139"/>
      <c r="X12" s="139"/>
      <c r="Y12" s="96">
        <v>2.5</v>
      </c>
      <c r="Z12" s="102"/>
      <c r="AA12" s="102"/>
      <c r="AB12" s="200"/>
      <c r="AC12" s="201" t="s">
        <v>51</v>
      </c>
    </row>
    <row r="13" spans="1:31" ht="17.25" customHeight="1" thickTop="1" thickBot="1">
      <c r="A13" s="510"/>
      <c r="B13" s="513"/>
      <c r="C13" s="451"/>
      <c r="D13" s="494"/>
      <c r="E13" s="22"/>
      <c r="F13" s="22"/>
      <c r="G13" s="600"/>
      <c r="H13" s="22"/>
      <c r="I13" s="23"/>
      <c r="J13" s="582"/>
      <c r="K13" s="582"/>
      <c r="L13" s="582"/>
      <c r="M13" s="582"/>
      <c r="N13" s="150"/>
      <c r="O13" s="23"/>
      <c r="P13" s="451"/>
      <c r="Q13" s="454"/>
      <c r="R13" s="457"/>
      <c r="S13" s="451"/>
      <c r="T13" s="478"/>
      <c r="U13" s="481"/>
      <c r="V13" s="86"/>
      <c r="W13" s="85"/>
      <c r="X13" s="85"/>
      <c r="Y13" s="230"/>
      <c r="Z13" s="230"/>
      <c r="AA13" s="230"/>
      <c r="AB13" s="235"/>
      <c r="AC13" s="286"/>
      <c r="AD13" s="203">
        <f>SUM(V10:AB13)+Q10</f>
        <v>12.034883720930232</v>
      </c>
      <c r="AE13" s="71"/>
    </row>
    <row r="14" spans="1:31" ht="18.75" customHeight="1" thickTop="1">
      <c r="A14" s="510" t="s">
        <v>21</v>
      </c>
      <c r="B14" s="511">
        <v>42899</v>
      </c>
      <c r="C14" s="449" t="s">
        <v>16</v>
      </c>
      <c r="D14" s="525" t="s">
        <v>22</v>
      </c>
      <c r="E14" s="19"/>
      <c r="F14" s="19"/>
      <c r="G14" s="579">
        <f>46*120</f>
        <v>5520</v>
      </c>
      <c r="H14" s="19"/>
      <c r="I14" s="491"/>
      <c r="J14" s="581">
        <f>$G14*J$5</f>
        <v>2484</v>
      </c>
      <c r="K14" s="581">
        <f>$G14*K$5</f>
        <v>1481.0159999999998</v>
      </c>
      <c r="L14" s="581">
        <f>$G14*L$5</f>
        <v>1478.8080000000002</v>
      </c>
      <c r="M14" s="581">
        <f>$G14*M$5</f>
        <v>76.176000000000002</v>
      </c>
      <c r="N14" s="576"/>
      <c r="O14" s="491"/>
      <c r="P14" s="449">
        <f>G14+G16</f>
        <v>11040</v>
      </c>
      <c r="Q14" s="502">
        <f>P14*R7/D5</f>
        <v>25.674418604651162</v>
      </c>
      <c r="R14" s="455">
        <f>Q14/R7</f>
        <v>1.069767441860465</v>
      </c>
      <c r="S14" s="449">
        <f>+D5-P14</f>
        <v>-720</v>
      </c>
      <c r="T14" s="476">
        <f>S14/D5</f>
        <v>-6.9767441860465115E-2</v>
      </c>
      <c r="U14" s="272"/>
      <c r="V14" s="254"/>
      <c r="W14" s="212"/>
      <c r="X14" s="212"/>
      <c r="Y14" s="212"/>
      <c r="Z14" s="212"/>
      <c r="AA14" s="212"/>
      <c r="AB14" s="196"/>
      <c r="AC14" s="189"/>
      <c r="AD14" s="203"/>
      <c r="AE14" s="71"/>
    </row>
    <row r="15" spans="1:31" ht="18.75" customHeight="1">
      <c r="A15" s="510"/>
      <c r="B15" s="512"/>
      <c r="C15" s="467"/>
      <c r="D15" s="526"/>
      <c r="E15" s="19"/>
      <c r="F15" s="19"/>
      <c r="G15" s="580"/>
      <c r="H15" s="27"/>
      <c r="I15" s="448"/>
      <c r="J15" s="582"/>
      <c r="K15" s="582"/>
      <c r="L15" s="582"/>
      <c r="M15" s="582"/>
      <c r="N15" s="585"/>
      <c r="O15" s="448"/>
      <c r="P15" s="450"/>
      <c r="Q15" s="503"/>
      <c r="R15" s="456"/>
      <c r="S15" s="450"/>
      <c r="T15" s="477"/>
      <c r="U15" s="564">
        <f>Q14+Y15+Y17</f>
        <v>25.674418604651162</v>
      </c>
      <c r="V15" s="232"/>
      <c r="W15" s="210"/>
      <c r="X15" s="210"/>
      <c r="Y15" s="210"/>
      <c r="Z15" s="210"/>
      <c r="AA15" s="210"/>
      <c r="AB15" s="194"/>
      <c r="AC15" s="190"/>
      <c r="AD15" s="203"/>
      <c r="AE15" s="71"/>
    </row>
    <row r="16" spans="1:31" ht="18.75" customHeight="1" thickBot="1">
      <c r="A16" s="510"/>
      <c r="B16" s="512"/>
      <c r="C16" s="495" t="s">
        <v>19</v>
      </c>
      <c r="D16" s="493" t="s">
        <v>17</v>
      </c>
      <c r="E16" s="19"/>
      <c r="F16" s="19"/>
      <c r="G16" s="583">
        <v>5520</v>
      </c>
      <c r="H16" s="19"/>
      <c r="I16" s="448"/>
      <c r="J16" s="584">
        <f>$G16*J$5</f>
        <v>2484</v>
      </c>
      <c r="K16" s="584">
        <f>$G16*K$5</f>
        <v>1481.0159999999998</v>
      </c>
      <c r="L16" s="584">
        <f>$G16*L$5</f>
        <v>1478.8080000000002</v>
      </c>
      <c r="M16" s="584">
        <f>$G16*M$5</f>
        <v>76.176000000000002</v>
      </c>
      <c r="N16" s="44"/>
      <c r="O16" s="448"/>
      <c r="P16" s="450"/>
      <c r="Q16" s="503"/>
      <c r="R16" s="456"/>
      <c r="S16" s="450"/>
      <c r="T16" s="477"/>
      <c r="U16" s="480"/>
      <c r="V16" s="232"/>
      <c r="W16" s="210"/>
      <c r="X16" s="210"/>
      <c r="Y16" s="210"/>
      <c r="Z16" s="210"/>
      <c r="AA16" s="210"/>
      <c r="AB16" s="194"/>
      <c r="AC16" s="190"/>
      <c r="AD16" s="203"/>
      <c r="AE16" s="71"/>
    </row>
    <row r="17" spans="1:31" ht="18.75" customHeight="1" thickTop="1" thickBot="1">
      <c r="A17" s="510"/>
      <c r="B17" s="513"/>
      <c r="C17" s="451"/>
      <c r="D17" s="577"/>
      <c r="E17" s="22"/>
      <c r="F17" s="22"/>
      <c r="G17" s="600"/>
      <c r="H17" s="22"/>
      <c r="I17" s="492"/>
      <c r="J17" s="582"/>
      <c r="K17" s="582"/>
      <c r="L17" s="582"/>
      <c r="M17" s="582"/>
      <c r="N17" s="150"/>
      <c r="O17" s="492"/>
      <c r="P17" s="451"/>
      <c r="Q17" s="504"/>
      <c r="R17" s="457"/>
      <c r="S17" s="451"/>
      <c r="T17" s="478"/>
      <c r="U17" s="481"/>
      <c r="V17" s="234"/>
      <c r="W17" s="230"/>
      <c r="X17" s="230"/>
      <c r="Y17" s="213"/>
      <c r="Z17" s="213"/>
      <c r="AA17" s="213"/>
      <c r="AB17" s="280"/>
      <c r="AC17" s="281"/>
      <c r="AD17" s="203">
        <f>SUM(V14:AA17)+Q14</f>
        <v>25.674418604651162</v>
      </c>
      <c r="AE17" s="71"/>
    </row>
    <row r="18" spans="1:31" ht="16.5" customHeight="1" thickTop="1" thickBot="1">
      <c r="A18" s="510" t="s">
        <v>23</v>
      </c>
      <c r="B18" s="511">
        <v>42900</v>
      </c>
      <c r="C18" s="449" t="s">
        <v>16</v>
      </c>
      <c r="D18" s="525" t="s">
        <v>22</v>
      </c>
      <c r="E18" s="19"/>
      <c r="F18" s="19"/>
      <c r="G18" s="579">
        <f>42*120</f>
        <v>5040</v>
      </c>
      <c r="H18" s="19"/>
      <c r="I18" s="491"/>
      <c r="J18" s="581">
        <f>$G18*J$5</f>
        <v>2268</v>
      </c>
      <c r="K18" s="581">
        <f>$G18*K$5</f>
        <v>1352.232</v>
      </c>
      <c r="L18" s="581">
        <f>$G18*L$5</f>
        <v>1350.2160000000001</v>
      </c>
      <c r="M18" s="581">
        <f>$G18*M$5</f>
        <v>69.551999999999992</v>
      </c>
      <c r="N18" s="576"/>
      <c r="O18" s="491"/>
      <c r="P18" s="449">
        <f>G18+G20+H21</f>
        <v>10440</v>
      </c>
      <c r="Q18" s="502">
        <f>P18*R7/D5</f>
        <v>24.279069767441861</v>
      </c>
      <c r="R18" s="455">
        <f>Q18/R7</f>
        <v>1.0116279069767442</v>
      </c>
      <c r="S18" s="449">
        <f>+D5-P18</f>
        <v>-120</v>
      </c>
      <c r="T18" s="476">
        <f>S18/D5</f>
        <v>-1.1627906976744186E-2</v>
      </c>
      <c r="U18" s="272"/>
      <c r="V18" s="254"/>
      <c r="W18" s="212"/>
      <c r="X18" s="212"/>
      <c r="Y18" s="212"/>
      <c r="Z18" s="212"/>
      <c r="AA18" s="212"/>
      <c r="AB18" s="196"/>
      <c r="AC18" s="189"/>
      <c r="AD18" s="203"/>
      <c r="AE18" s="71"/>
    </row>
    <row r="19" spans="1:31" ht="16.5" customHeight="1" thickTop="1">
      <c r="A19" s="510"/>
      <c r="B19" s="512"/>
      <c r="C19" s="467"/>
      <c r="D19" s="526"/>
      <c r="E19" s="19"/>
      <c r="F19" s="19"/>
      <c r="G19" s="580"/>
      <c r="H19" s="19"/>
      <c r="I19" s="448"/>
      <c r="J19" s="582"/>
      <c r="K19" s="582"/>
      <c r="L19" s="582"/>
      <c r="M19" s="582"/>
      <c r="N19" s="585"/>
      <c r="O19" s="448"/>
      <c r="P19" s="450"/>
      <c r="Q19" s="503"/>
      <c r="R19" s="456"/>
      <c r="S19" s="450"/>
      <c r="T19" s="477"/>
      <c r="U19" s="547"/>
      <c r="V19" s="232"/>
      <c r="W19" s="210"/>
      <c r="X19" s="210"/>
      <c r="Y19" s="210"/>
      <c r="Z19" s="210"/>
      <c r="AA19" s="210"/>
      <c r="AB19" s="194"/>
      <c r="AC19" s="190"/>
      <c r="AD19" s="203"/>
      <c r="AE19" s="71"/>
    </row>
    <row r="20" spans="1:31" ht="21.75" customHeight="1" thickBot="1">
      <c r="A20" s="510"/>
      <c r="B20" s="512"/>
      <c r="C20" s="495" t="s">
        <v>19</v>
      </c>
      <c r="D20" s="493" t="s">
        <v>17</v>
      </c>
      <c r="E20" s="19"/>
      <c r="F20" s="19"/>
      <c r="G20" s="279">
        <f>11*120</f>
        <v>1320</v>
      </c>
      <c r="H20" s="19"/>
      <c r="I20" s="448"/>
      <c r="J20" s="287">
        <f>$G20*J$5</f>
        <v>594</v>
      </c>
      <c r="K20" s="287">
        <f>$G20*K$5</f>
        <v>354.15599999999995</v>
      </c>
      <c r="L20" s="287">
        <f>$G20*L$5</f>
        <v>353.62800000000004</v>
      </c>
      <c r="M20" s="287">
        <f>$G20*M$5</f>
        <v>18.216000000000001</v>
      </c>
      <c r="N20" s="44"/>
      <c r="O20" s="448"/>
      <c r="P20" s="450"/>
      <c r="Q20" s="503"/>
      <c r="R20" s="456"/>
      <c r="S20" s="450"/>
      <c r="T20" s="477"/>
      <c r="U20" s="548"/>
      <c r="V20" s="232"/>
      <c r="W20" s="210"/>
      <c r="X20" s="210"/>
      <c r="Y20" s="210"/>
      <c r="Z20" s="210"/>
      <c r="AA20" s="210"/>
      <c r="AB20" s="194"/>
      <c r="AC20" s="282"/>
      <c r="AD20" s="203"/>
      <c r="AE20" s="71"/>
    </row>
    <row r="21" spans="1:31" ht="21.75" customHeight="1" thickTop="1" thickBot="1">
      <c r="A21" s="510"/>
      <c r="B21" s="513"/>
      <c r="C21" s="451"/>
      <c r="D21" s="494"/>
      <c r="E21" s="22"/>
      <c r="F21" s="22"/>
      <c r="G21" s="22"/>
      <c r="H21" s="288">
        <f>34*120</f>
        <v>4080</v>
      </c>
      <c r="I21" s="492"/>
      <c r="J21" s="289">
        <f>$H21*J$6</f>
        <v>1441.056</v>
      </c>
      <c r="K21" s="289">
        <f t="shared" ref="K21:M21" si="0">$H21*K$6</f>
        <v>1730.7360000000001</v>
      </c>
      <c r="L21" s="289">
        <f t="shared" si="0"/>
        <v>864.95999999999992</v>
      </c>
      <c r="M21" s="289">
        <f t="shared" si="0"/>
        <v>43.247999999999998</v>
      </c>
      <c r="N21" s="150"/>
      <c r="O21" s="492"/>
      <c r="P21" s="451"/>
      <c r="Q21" s="504"/>
      <c r="R21" s="457"/>
      <c r="S21" s="451"/>
      <c r="T21" s="478"/>
      <c r="U21" s="549"/>
      <c r="V21" s="234"/>
      <c r="W21" s="230"/>
      <c r="X21" s="230"/>
      <c r="Y21" s="213"/>
      <c r="Z21" s="213"/>
      <c r="AA21" s="213"/>
      <c r="AB21" s="280"/>
      <c r="AC21" s="191"/>
      <c r="AD21" s="203">
        <f>+SUM(V18:AA21)+Q18</f>
        <v>24.279069767441861</v>
      </c>
      <c r="AE21" s="71"/>
    </row>
    <row r="22" spans="1:31" ht="15" customHeight="1" thickTop="1" thickBot="1">
      <c r="A22" s="274"/>
      <c r="B22" s="511">
        <v>42901</v>
      </c>
      <c r="C22" s="449" t="s">
        <v>16</v>
      </c>
      <c r="D22" s="525" t="s">
        <v>22</v>
      </c>
      <c r="E22" s="531"/>
      <c r="F22" s="531"/>
      <c r="G22" s="531"/>
      <c r="H22" s="613">
        <f>44*120</f>
        <v>5280</v>
      </c>
      <c r="I22" s="491"/>
      <c r="J22" s="615">
        <f>$H22*J6</f>
        <v>1864.8960000000002</v>
      </c>
      <c r="K22" s="615">
        <f t="shared" ref="K22:M22" si="1">$H22*K6</f>
        <v>2239.7760000000003</v>
      </c>
      <c r="L22" s="615">
        <f t="shared" si="1"/>
        <v>1119.3599999999999</v>
      </c>
      <c r="M22" s="615">
        <f t="shared" si="1"/>
        <v>55.968000000000004</v>
      </c>
      <c r="N22" s="576"/>
      <c r="O22" s="491"/>
      <c r="P22" s="449">
        <f>SUM(E22:H25)</f>
        <v>8160</v>
      </c>
      <c r="Q22" s="482">
        <f>P22*R7/D5</f>
        <v>18.976744186046513</v>
      </c>
      <c r="R22" s="455">
        <f>Q22/R7</f>
        <v>0.79069767441860472</v>
      </c>
      <c r="S22" s="449">
        <f>D5-P22</f>
        <v>2160</v>
      </c>
      <c r="T22" s="485">
        <f>S22/D5</f>
        <v>0.20930232558139536</v>
      </c>
      <c r="U22" s="275"/>
      <c r="V22" s="254"/>
      <c r="W22" s="212"/>
      <c r="X22" s="212"/>
      <c r="Y22" s="212"/>
      <c r="Z22" s="212"/>
      <c r="AA22" s="212"/>
      <c r="AB22" s="196"/>
      <c r="AC22" s="189"/>
      <c r="AD22" s="203"/>
      <c r="AE22" s="71"/>
    </row>
    <row r="23" spans="1:31" ht="15" customHeight="1" thickTop="1">
      <c r="A23" s="510" t="s">
        <v>24</v>
      </c>
      <c r="B23" s="498"/>
      <c r="C23" s="467"/>
      <c r="D23" s="526"/>
      <c r="E23" s="532"/>
      <c r="F23" s="532"/>
      <c r="G23" s="532"/>
      <c r="H23" s="614"/>
      <c r="I23" s="448"/>
      <c r="J23" s="616"/>
      <c r="K23" s="616"/>
      <c r="L23" s="616"/>
      <c r="M23" s="616"/>
      <c r="N23" s="585"/>
      <c r="O23" s="448"/>
      <c r="P23" s="450"/>
      <c r="Q23" s="483"/>
      <c r="R23" s="456"/>
      <c r="S23" s="450"/>
      <c r="T23" s="486"/>
      <c r="U23" s="482">
        <f>Q22+Y23+Y25</f>
        <v>18.976744186046513</v>
      </c>
      <c r="V23" s="232"/>
      <c r="W23" s="210"/>
      <c r="X23" s="210"/>
      <c r="Y23" s="210"/>
      <c r="Z23" s="210"/>
      <c r="AA23" s="210"/>
      <c r="AB23" s="194"/>
      <c r="AC23" s="190"/>
      <c r="AD23" s="203"/>
      <c r="AE23" s="71"/>
    </row>
    <row r="24" spans="1:31" ht="22.5" customHeight="1" thickBot="1">
      <c r="A24" s="510"/>
      <c r="B24" s="498"/>
      <c r="C24" s="495" t="s">
        <v>19</v>
      </c>
      <c r="D24" s="493" t="s">
        <v>17</v>
      </c>
      <c r="E24" s="40"/>
      <c r="F24" s="40"/>
      <c r="G24" s="40"/>
      <c r="H24" s="317">
        <f>10*120</f>
        <v>1200</v>
      </c>
      <c r="I24" s="448"/>
      <c r="J24" s="318">
        <f>$H24*J6</f>
        <v>423.84000000000003</v>
      </c>
      <c r="K24" s="318">
        <f t="shared" ref="K24:M24" si="2">$H24*K6</f>
        <v>509.04</v>
      </c>
      <c r="L24" s="318">
        <f t="shared" si="2"/>
        <v>254.4</v>
      </c>
      <c r="M24" s="318">
        <f t="shared" si="2"/>
        <v>12.72</v>
      </c>
      <c r="N24" s="44"/>
      <c r="O24" s="448"/>
      <c r="P24" s="450"/>
      <c r="Q24" s="483"/>
      <c r="R24" s="456"/>
      <c r="S24" s="450"/>
      <c r="T24" s="486"/>
      <c r="U24" s="483"/>
      <c r="V24" s="232"/>
      <c r="W24" s="210"/>
      <c r="X24" s="210"/>
      <c r="Y24" s="210"/>
      <c r="Z24" s="210"/>
      <c r="AA24" s="210"/>
      <c r="AB24" s="194"/>
      <c r="AC24" s="282"/>
      <c r="AD24" s="203"/>
      <c r="AE24" s="71"/>
    </row>
    <row r="25" spans="1:31" ht="22.5" customHeight="1" thickTop="1" thickBot="1">
      <c r="A25" s="510"/>
      <c r="B25" s="498"/>
      <c r="C25" s="498"/>
      <c r="D25" s="494"/>
      <c r="E25" s="293">
        <f>14*120</f>
        <v>1680</v>
      </c>
      <c r="F25" s="22"/>
      <c r="G25" s="22"/>
      <c r="H25" s="22"/>
      <c r="I25" s="492"/>
      <c r="J25" s="319">
        <f>$E25*J3</f>
        <v>772.80000000000007</v>
      </c>
      <c r="K25" s="319">
        <f t="shared" ref="K25:M25" si="3">$E25*K3</f>
        <v>514.41600000000005</v>
      </c>
      <c r="L25" s="319">
        <f t="shared" si="3"/>
        <v>369.6</v>
      </c>
      <c r="M25" s="319">
        <f t="shared" si="3"/>
        <v>23.184000000000001</v>
      </c>
      <c r="N25" s="150"/>
      <c r="O25" s="492"/>
      <c r="P25" s="450"/>
      <c r="Q25" s="483"/>
      <c r="R25" s="456"/>
      <c r="S25" s="450"/>
      <c r="T25" s="486"/>
      <c r="U25" s="483"/>
      <c r="V25" s="234"/>
      <c r="W25" s="230"/>
      <c r="X25" s="230"/>
      <c r="Y25" s="213"/>
      <c r="Z25" s="213"/>
      <c r="AA25" s="213"/>
      <c r="AB25" s="295">
        <v>5</v>
      </c>
      <c r="AC25" s="296" t="s">
        <v>89</v>
      </c>
      <c r="AD25" s="203">
        <f>SUM(V22:AB25)+Q22</f>
        <v>23.976744186046513</v>
      </c>
      <c r="AE25" s="71"/>
    </row>
    <row r="26" spans="1:31" ht="19.5" customHeight="1" thickTop="1" thickBot="1">
      <c r="A26" s="274"/>
      <c r="B26" s="511">
        <v>42902</v>
      </c>
      <c r="C26" s="449" t="s">
        <v>16</v>
      </c>
      <c r="D26" s="525" t="s">
        <v>22</v>
      </c>
      <c r="E26" s="611">
        <f>34*120</f>
        <v>4080</v>
      </c>
      <c r="F26" s="531"/>
      <c r="G26" s="531"/>
      <c r="H26" s="531"/>
      <c r="I26" s="21"/>
      <c r="J26" s="609">
        <f>$E26*J3</f>
        <v>1876.8000000000002</v>
      </c>
      <c r="K26" s="609">
        <f t="shared" ref="K26:M26" si="4">$E26*K3</f>
        <v>1249.296</v>
      </c>
      <c r="L26" s="609">
        <f t="shared" si="4"/>
        <v>897.6</v>
      </c>
      <c r="M26" s="609">
        <f t="shared" si="4"/>
        <v>56.304000000000002</v>
      </c>
      <c r="N26" s="576"/>
      <c r="O26" s="21"/>
      <c r="P26" s="449">
        <f>SUM(E26:H29)</f>
        <v>8880</v>
      </c>
      <c r="Q26" s="479">
        <f>P26*R7/D5</f>
        <v>20.651162790697676</v>
      </c>
      <c r="R26" s="574">
        <f>Q26/R7</f>
        <v>0.86046511627906985</v>
      </c>
      <c r="S26" s="449">
        <f>D5-P26</f>
        <v>1440</v>
      </c>
      <c r="T26" s="476">
        <f>S26/D5</f>
        <v>0.13953488372093023</v>
      </c>
      <c r="U26" s="273"/>
      <c r="V26" s="254"/>
      <c r="W26" s="212"/>
      <c r="X26" s="212"/>
      <c r="Y26" s="212"/>
      <c r="Z26" s="212"/>
      <c r="AA26" s="212"/>
      <c r="AB26" s="196"/>
      <c r="AC26" s="189"/>
      <c r="AD26" s="203"/>
      <c r="AE26" s="71"/>
    </row>
    <row r="27" spans="1:31" ht="19.5" customHeight="1" thickTop="1">
      <c r="A27" s="510" t="s">
        <v>25</v>
      </c>
      <c r="B27" s="512"/>
      <c r="C27" s="467"/>
      <c r="D27" s="526"/>
      <c r="E27" s="612"/>
      <c r="F27" s="532"/>
      <c r="G27" s="532"/>
      <c r="H27" s="532"/>
      <c r="I27" s="21"/>
      <c r="J27" s="610"/>
      <c r="K27" s="610"/>
      <c r="L27" s="610"/>
      <c r="M27" s="610"/>
      <c r="N27" s="585"/>
      <c r="O27" s="21"/>
      <c r="P27" s="450"/>
      <c r="Q27" s="480"/>
      <c r="R27" s="573"/>
      <c r="S27" s="450"/>
      <c r="T27" s="477"/>
      <c r="U27" s="479">
        <f>Y27+Y29+Q26</f>
        <v>20.651162790697676</v>
      </c>
      <c r="V27" s="232"/>
      <c r="W27" s="210"/>
      <c r="X27" s="210"/>
      <c r="Y27" s="210"/>
      <c r="Z27" s="210"/>
      <c r="AA27" s="316">
        <v>3.25</v>
      </c>
      <c r="AB27" s="88"/>
      <c r="AC27" s="143" t="s">
        <v>92</v>
      </c>
      <c r="AD27" s="203"/>
      <c r="AE27" s="71"/>
    </row>
    <row r="28" spans="1:31" ht="21.75" customHeight="1" thickBot="1">
      <c r="A28" s="510"/>
      <c r="B28" s="512"/>
      <c r="C28" s="495" t="s">
        <v>19</v>
      </c>
      <c r="D28" s="493" t="s">
        <v>17</v>
      </c>
      <c r="E28" s="299">
        <f>26*120</f>
        <v>3120</v>
      </c>
      <c r="F28" s="40"/>
      <c r="G28" s="606"/>
      <c r="H28" s="40"/>
      <c r="I28" s="21"/>
      <c r="J28" s="300">
        <f>$E28*J3</f>
        <v>1435.2</v>
      </c>
      <c r="K28" s="300">
        <f t="shared" ref="K28:M28" si="5">$E28*K3</f>
        <v>955.34400000000005</v>
      </c>
      <c r="L28" s="300">
        <f t="shared" si="5"/>
        <v>686.4</v>
      </c>
      <c r="M28" s="300">
        <f t="shared" si="5"/>
        <v>43.055999999999997</v>
      </c>
      <c r="N28" s="44"/>
      <c r="O28" s="21"/>
      <c r="P28" s="450"/>
      <c r="Q28" s="480"/>
      <c r="R28" s="573"/>
      <c r="S28" s="450"/>
      <c r="T28" s="477"/>
      <c r="U28" s="450"/>
      <c r="V28" s="232"/>
      <c r="W28" s="210"/>
      <c r="X28" s="210"/>
      <c r="Y28" s="210"/>
      <c r="Z28" s="210"/>
      <c r="AA28" s="210"/>
      <c r="AB28" s="194"/>
      <c r="AC28" s="282"/>
      <c r="AD28" s="203">
        <f>SUM(V26:AA29)+Q26</f>
        <v>23.901162790697676</v>
      </c>
      <c r="AE28" s="71"/>
    </row>
    <row r="29" spans="1:31" ht="21.75" customHeight="1" thickTop="1" thickBot="1">
      <c r="A29" s="510"/>
      <c r="B29" s="513"/>
      <c r="C29" s="451"/>
      <c r="D29" s="494"/>
      <c r="E29" s="297"/>
      <c r="F29" s="298">
        <f>14*120</f>
        <v>1680</v>
      </c>
      <c r="G29" s="471"/>
      <c r="H29" s="22"/>
      <c r="I29" s="21"/>
      <c r="J29" s="290">
        <f>$F29*J4</f>
        <v>756</v>
      </c>
      <c r="K29" s="307">
        <f t="shared" ref="K29:N29" si="6">$F29*K4</f>
        <v>450.74399999999997</v>
      </c>
      <c r="L29" s="307">
        <f t="shared" si="6"/>
        <v>450.07200000000006</v>
      </c>
      <c r="M29" s="307">
        <f t="shared" si="6"/>
        <v>23.184000000000001</v>
      </c>
      <c r="N29" s="307">
        <f t="shared" si="6"/>
        <v>12.432</v>
      </c>
      <c r="O29" s="23"/>
      <c r="P29" s="451"/>
      <c r="Q29" s="481"/>
      <c r="R29" s="554"/>
      <c r="S29" s="451"/>
      <c r="T29" s="478"/>
      <c r="U29" s="451"/>
      <c r="V29" s="234"/>
      <c r="W29" s="230"/>
      <c r="X29" s="230"/>
      <c r="Y29" s="213"/>
      <c r="Z29" s="213"/>
      <c r="AA29" s="213"/>
      <c r="AB29" s="280"/>
      <c r="AC29" s="191"/>
      <c r="AD29" s="203"/>
      <c r="AE29" s="71"/>
    </row>
    <row r="30" spans="1:31" ht="19.5" customHeight="1" thickTop="1" thickBot="1">
      <c r="A30" s="274"/>
      <c r="B30" s="511">
        <v>42903</v>
      </c>
      <c r="C30" s="449" t="s">
        <v>16</v>
      </c>
      <c r="D30" s="525" t="s">
        <v>22</v>
      </c>
      <c r="E30" s="294"/>
      <c r="F30" s="607">
        <v>4200</v>
      </c>
      <c r="G30" s="531"/>
      <c r="H30" s="531"/>
      <c r="I30" s="448"/>
      <c r="J30" s="490">
        <f>$F30*J$4</f>
        <v>1890</v>
      </c>
      <c r="K30" s="490">
        <f>$F30*K$4</f>
        <v>1126.8599999999999</v>
      </c>
      <c r="L30" s="490">
        <f>$F30*L$4</f>
        <v>1125.18</v>
      </c>
      <c r="M30" s="490">
        <f>$F30*M$4</f>
        <v>57.96</v>
      </c>
      <c r="N30" s="490">
        <f>$F30*N$4</f>
        <v>31.080000000000002</v>
      </c>
      <c r="O30" s="448"/>
      <c r="P30" s="449">
        <f>SUM(E30:H33)</f>
        <v>4200</v>
      </c>
      <c r="Q30" s="479">
        <f>P30*R7/D5</f>
        <v>9.7674418604651159</v>
      </c>
      <c r="R30" s="574">
        <f>Q30/R7</f>
        <v>0.40697674418604651</v>
      </c>
      <c r="S30" s="449">
        <f>D5-P30</f>
        <v>6120</v>
      </c>
      <c r="T30" s="458">
        <f>S30/D5</f>
        <v>0.59302325581395354</v>
      </c>
      <c r="U30" s="271"/>
      <c r="V30" s="254"/>
      <c r="W30" s="212"/>
      <c r="X30" s="212"/>
      <c r="Y30" s="212"/>
      <c r="Z30" s="212"/>
      <c r="AA30" s="212"/>
      <c r="AB30" s="196"/>
      <c r="AC30" s="189"/>
      <c r="AD30" s="203"/>
      <c r="AE30" s="71"/>
    </row>
    <row r="31" spans="1:31" ht="19.5" customHeight="1" thickTop="1">
      <c r="A31" s="510" t="s">
        <v>26</v>
      </c>
      <c r="B31" s="512"/>
      <c r="C31" s="467"/>
      <c r="D31" s="526"/>
      <c r="E31" s="294"/>
      <c r="F31" s="608"/>
      <c r="G31" s="532"/>
      <c r="H31" s="532"/>
      <c r="I31" s="448"/>
      <c r="J31" s="475"/>
      <c r="K31" s="475"/>
      <c r="L31" s="475"/>
      <c r="M31" s="475"/>
      <c r="N31" s="475"/>
      <c r="O31" s="448"/>
      <c r="P31" s="450"/>
      <c r="Q31" s="480"/>
      <c r="R31" s="573"/>
      <c r="S31" s="450"/>
      <c r="T31" s="459"/>
      <c r="U31" s="479">
        <f>Q30+Y32</f>
        <v>9.7674418604651159</v>
      </c>
      <c r="V31" s="232"/>
      <c r="W31" s="210"/>
      <c r="X31" s="210"/>
      <c r="Y31" s="210"/>
      <c r="Z31" s="210"/>
      <c r="AA31" s="210"/>
      <c r="AB31" s="314">
        <v>14.25</v>
      </c>
      <c r="AC31" s="315" t="s">
        <v>91</v>
      </c>
      <c r="AD31" s="203"/>
      <c r="AE31" s="71"/>
    </row>
    <row r="32" spans="1:31" ht="19.5" customHeight="1">
      <c r="A32" s="510"/>
      <c r="B32" s="512"/>
      <c r="C32" s="495" t="s">
        <v>19</v>
      </c>
      <c r="D32" s="493" t="s">
        <v>17</v>
      </c>
      <c r="E32" s="40"/>
      <c r="F32" s="40"/>
      <c r="G32" s="606"/>
      <c r="H32" s="40"/>
      <c r="I32" s="42"/>
      <c r="J32" s="474">
        <f>$F32*J$4</f>
        <v>0</v>
      </c>
      <c r="K32" s="474">
        <f>$F32*K$4</f>
        <v>0</v>
      </c>
      <c r="L32" s="474">
        <f>$F32*L$4</f>
        <v>0</v>
      </c>
      <c r="M32" s="474">
        <f>$F32*M$4</f>
        <v>0</v>
      </c>
      <c r="N32" s="604">
        <f>$F32*N$4</f>
        <v>0</v>
      </c>
      <c r="O32" s="21"/>
      <c r="P32" s="450"/>
      <c r="Q32" s="480"/>
      <c r="R32" s="573"/>
      <c r="S32" s="450"/>
      <c r="T32" s="459"/>
      <c r="U32" s="480"/>
      <c r="V32" s="232"/>
      <c r="W32" s="210"/>
      <c r="X32" s="210"/>
      <c r="Y32" s="210"/>
      <c r="Z32" s="210"/>
      <c r="AA32" s="210"/>
      <c r="AB32" s="194"/>
      <c r="AC32" s="282"/>
      <c r="AD32" s="203">
        <f>SUM(V30:AB33)+Q30</f>
        <v>24.017441860465116</v>
      </c>
      <c r="AE32" s="71"/>
    </row>
    <row r="33" spans="1:31" ht="19.5" customHeight="1" thickBot="1">
      <c r="A33" s="510"/>
      <c r="B33" s="513"/>
      <c r="C33" s="451"/>
      <c r="D33" s="494"/>
      <c r="E33" s="22"/>
      <c r="F33" s="22"/>
      <c r="G33" s="471"/>
      <c r="H33" s="22"/>
      <c r="I33" s="158"/>
      <c r="J33" s="575"/>
      <c r="K33" s="575"/>
      <c r="L33" s="575"/>
      <c r="M33" s="575"/>
      <c r="N33" s="535"/>
      <c r="O33" s="21"/>
      <c r="P33" s="451"/>
      <c r="Q33" s="481"/>
      <c r="R33" s="554"/>
      <c r="S33" s="451"/>
      <c r="T33" s="460"/>
      <c r="U33" s="481"/>
      <c r="V33" s="234"/>
      <c r="W33" s="230"/>
      <c r="X33" s="230"/>
      <c r="Y33" s="213"/>
      <c r="Z33" s="213"/>
      <c r="AA33" s="213"/>
      <c r="AB33" s="280"/>
      <c r="AC33" s="191"/>
      <c r="AD33" s="203"/>
      <c r="AE33" s="71"/>
    </row>
    <row r="34" spans="1:31" ht="19.5" customHeight="1" thickTop="1" thickBot="1">
      <c r="A34" s="274"/>
      <c r="B34" s="521">
        <v>42904</v>
      </c>
      <c r="C34" s="544" t="s">
        <v>16</v>
      </c>
      <c r="D34" s="525" t="s">
        <v>22</v>
      </c>
      <c r="E34" s="531"/>
      <c r="F34" s="531"/>
      <c r="G34" s="531"/>
      <c r="H34" s="531"/>
      <c r="I34" s="21"/>
      <c r="J34" s="490">
        <f>$F34*J$4</f>
        <v>0</v>
      </c>
      <c r="K34" s="490">
        <f>$F34*K$4</f>
        <v>0</v>
      </c>
      <c r="L34" s="490">
        <f>$F34*L$4</f>
        <v>0</v>
      </c>
      <c r="M34" s="490">
        <f>$F34*M$4</f>
        <v>0</v>
      </c>
      <c r="N34" s="601">
        <f>$F34*N$4</f>
        <v>0</v>
      </c>
      <c r="O34" s="21"/>
      <c r="P34" s="449">
        <f>G34</f>
        <v>0</v>
      </c>
      <c r="Q34" s="544">
        <f>P34*R6/D6</f>
        <v>0</v>
      </c>
      <c r="R34" s="574">
        <f>Q34/R6</f>
        <v>0</v>
      </c>
      <c r="S34" s="544">
        <f>D5-P34</f>
        <v>10320</v>
      </c>
      <c r="T34" s="565">
        <f>+S34/D5</f>
        <v>1</v>
      </c>
      <c r="U34" s="161"/>
      <c r="V34" s="254"/>
      <c r="W34" s="212"/>
      <c r="X34" s="212"/>
      <c r="Y34" s="212"/>
      <c r="Z34" s="212"/>
      <c r="AA34" s="212"/>
      <c r="AB34" s="196"/>
      <c r="AC34" s="189"/>
      <c r="AD34" s="203"/>
      <c r="AE34" s="71"/>
    </row>
    <row r="35" spans="1:31" ht="19.5" customHeight="1" thickTop="1">
      <c r="A35" s="510" t="s">
        <v>28</v>
      </c>
      <c r="B35" s="593"/>
      <c r="C35" s="594"/>
      <c r="D35" s="526"/>
      <c r="E35" s="532"/>
      <c r="F35" s="532"/>
      <c r="G35" s="532"/>
      <c r="H35" s="532"/>
      <c r="I35" s="21"/>
      <c r="J35" s="475"/>
      <c r="K35" s="475"/>
      <c r="L35" s="475"/>
      <c r="M35" s="475"/>
      <c r="N35" s="536"/>
      <c r="O35" s="25"/>
      <c r="P35" s="450"/>
      <c r="Q35" s="590"/>
      <c r="R35" s="573"/>
      <c r="S35" s="590"/>
      <c r="T35" s="591"/>
      <c r="U35" s="49"/>
      <c r="V35" s="232"/>
      <c r="W35" s="210"/>
      <c r="X35" s="210"/>
      <c r="Y35" s="210"/>
      <c r="Z35" s="210"/>
      <c r="AA35" s="210"/>
      <c r="AB35" s="314">
        <v>12</v>
      </c>
      <c r="AC35" s="315" t="s">
        <v>91</v>
      </c>
      <c r="AD35" s="203"/>
      <c r="AE35" s="71"/>
    </row>
    <row r="36" spans="1:31" ht="20.25" customHeight="1">
      <c r="A36" s="510"/>
      <c r="B36" s="593"/>
      <c r="C36" s="592" t="s">
        <v>19</v>
      </c>
      <c r="D36" s="602" t="s">
        <v>17</v>
      </c>
      <c r="E36" s="40"/>
      <c r="F36" s="40"/>
      <c r="G36" s="40"/>
      <c r="H36" s="40"/>
      <c r="I36" s="162"/>
      <c r="J36" s="570">
        <f>$F36*J$4</f>
        <v>0</v>
      </c>
      <c r="K36" s="570">
        <f>$F36*K$4</f>
        <v>0</v>
      </c>
      <c r="L36" s="570">
        <f>$F36*L$4</f>
        <v>0</v>
      </c>
      <c r="M36" s="570">
        <f>$F36*M$4</f>
        <v>0</v>
      </c>
      <c r="N36" s="570">
        <f>$F36*N$4</f>
        <v>0</v>
      </c>
      <c r="O36" s="21"/>
      <c r="P36" s="450"/>
      <c r="Q36" s="590"/>
      <c r="R36" s="573"/>
      <c r="S36" s="590"/>
      <c r="T36" s="591"/>
      <c r="U36" s="163"/>
      <c r="V36" s="232"/>
      <c r="W36" s="210"/>
      <c r="X36" s="210"/>
      <c r="Y36" s="210"/>
      <c r="Z36" s="210"/>
      <c r="AA36" s="210"/>
      <c r="AB36" s="194"/>
      <c r="AC36" s="282"/>
      <c r="AD36" s="203">
        <f>SUM(V34:AB37)+Q34</f>
        <v>12</v>
      </c>
      <c r="AE36" s="71"/>
    </row>
    <row r="37" spans="1:31" ht="20.25" customHeight="1" thickBot="1">
      <c r="A37" s="510"/>
      <c r="B37" s="522"/>
      <c r="C37" s="545"/>
      <c r="D37" s="603"/>
      <c r="E37" s="22"/>
      <c r="F37" s="22"/>
      <c r="G37" s="22"/>
      <c r="H37" s="22"/>
      <c r="I37" s="162"/>
      <c r="J37" s="585"/>
      <c r="K37" s="585"/>
      <c r="L37" s="585"/>
      <c r="M37" s="585"/>
      <c r="N37" s="585"/>
      <c r="O37" s="23"/>
      <c r="P37" s="451"/>
      <c r="Q37" s="545"/>
      <c r="R37" s="554"/>
      <c r="S37" s="545"/>
      <c r="T37" s="566"/>
      <c r="U37" s="54"/>
      <c r="V37" s="234"/>
      <c r="W37" s="230"/>
      <c r="X37" s="230"/>
      <c r="Y37" s="213"/>
      <c r="Z37" s="213"/>
      <c r="AA37" s="213"/>
      <c r="AB37" s="280"/>
      <c r="AC37" s="191"/>
      <c r="AD37" s="203"/>
      <c r="AE37" s="71"/>
    </row>
    <row r="38" spans="1:31" ht="15.75" customHeight="1" thickTop="1">
      <c r="B38" s="516" t="s">
        <v>36</v>
      </c>
      <c r="C38" s="516"/>
      <c r="D38" s="516"/>
      <c r="J38" s="514">
        <f>SUM(J10:J37)</f>
        <v>19748.592000000001</v>
      </c>
      <c r="K38" s="514">
        <f>SUM(K10:K37)</f>
        <v>14313.924000000001</v>
      </c>
      <c r="L38" s="514">
        <f>SUM(L10:L37)</f>
        <v>11297.028</v>
      </c>
      <c r="M38" s="514">
        <f>SUM(M10:M37)</f>
        <v>600.45600000000013</v>
      </c>
      <c r="N38" s="514">
        <f>SUM(N10:N37)</f>
        <v>43.512</v>
      </c>
      <c r="Q38" s="83"/>
      <c r="AC38" s="192"/>
    </row>
    <row r="39" spans="1:31" ht="21" customHeight="1">
      <c r="B39" s="517"/>
      <c r="C39" s="517"/>
      <c r="D39" s="517"/>
      <c r="E39" s="59">
        <f>SUM(E11:E37)</f>
        <v>8880</v>
      </c>
      <c r="F39" s="60">
        <f>SUM(F10:F36)</f>
        <v>5880</v>
      </c>
      <c r="G39" s="61">
        <f>SUM(G11:G37)</f>
        <v>20640</v>
      </c>
      <c r="H39" s="62">
        <f>SUM(H11:H37)</f>
        <v>10560</v>
      </c>
      <c r="I39" s="55"/>
      <c r="J39" s="515"/>
      <c r="K39" s="515"/>
      <c r="L39" s="515"/>
      <c r="M39" s="515"/>
      <c r="N39" s="515"/>
      <c r="O39" s="55">
        <f>SUM(O11:O37)</f>
        <v>0</v>
      </c>
      <c r="Q39" s="80">
        <f>SUM(Q10:Q37)</f>
        <v>106.88372093023256</v>
      </c>
      <c r="R39" s="80"/>
      <c r="S39" s="80"/>
      <c r="T39" s="81" t="s">
        <v>35</v>
      </c>
      <c r="U39" s="80">
        <f t="shared" ref="U39:AB39" si="7">SUM(U10:U37)</f>
        <v>82.604651162790702</v>
      </c>
      <c r="V39" s="80">
        <f t="shared" si="7"/>
        <v>2</v>
      </c>
      <c r="W39" s="80">
        <f t="shared" si="7"/>
        <v>0</v>
      </c>
      <c r="X39" s="80">
        <f t="shared" si="7"/>
        <v>0</v>
      </c>
      <c r="Y39" s="80">
        <f t="shared" si="7"/>
        <v>2.5</v>
      </c>
      <c r="Z39" s="80">
        <f t="shared" si="7"/>
        <v>0</v>
      </c>
      <c r="AA39" s="80">
        <f t="shared" si="7"/>
        <v>3.25</v>
      </c>
      <c r="AB39" s="80">
        <f t="shared" si="7"/>
        <v>31.25</v>
      </c>
      <c r="AC39" s="55" t="s">
        <v>29</v>
      </c>
    </row>
    <row r="40" spans="1:31" ht="23.25">
      <c r="C40" s="56" t="s">
        <v>30</v>
      </c>
      <c r="D40" s="57"/>
      <c r="E40" s="595">
        <f>E39+F39+G39+H39</f>
        <v>45960</v>
      </c>
      <c r="F40" s="595"/>
      <c r="G40" s="595"/>
      <c r="H40" s="595"/>
      <c r="Q40" s="264"/>
      <c r="R40" s="245"/>
      <c r="S40" s="262"/>
      <c r="U40" s="78"/>
      <c r="V40" s="78"/>
      <c r="W40" s="78"/>
      <c r="X40" s="173"/>
      <c r="Y40" s="164"/>
      <c r="Z40" s="164"/>
      <c r="AA40" s="164"/>
      <c r="AB40" s="164"/>
      <c r="AC40" s="267"/>
    </row>
    <row r="41" spans="1:31" ht="18.75" customHeight="1">
      <c r="Q41" s="76" t="s">
        <v>34</v>
      </c>
      <c r="S41" s="599">
        <f>K45*K46*K47</f>
        <v>0.72916666666666663</v>
      </c>
      <c r="T41" s="599"/>
    </row>
    <row r="42" spans="1:31" ht="23.25">
      <c r="F42" s="400">
        <f>E40/(D5*6)</f>
        <v>0.74224806201550386</v>
      </c>
      <c r="R42" s="76" t="s">
        <v>33</v>
      </c>
      <c r="U42" s="75">
        <f>V39/E3</f>
        <v>1.1904761904761904E-2</v>
      </c>
      <c r="V42" s="268">
        <f t="shared" ref="V42:AB42" si="8">V39/$E$4</f>
        <v>1.3888888888888888E-2</v>
      </c>
      <c r="W42" s="269">
        <f t="shared" si="8"/>
        <v>0</v>
      </c>
      <c r="X42" s="269">
        <f t="shared" si="8"/>
        <v>0</v>
      </c>
      <c r="Y42" s="269">
        <f t="shared" si="8"/>
        <v>1.7361111111111112E-2</v>
      </c>
      <c r="Z42" s="269">
        <f t="shared" si="8"/>
        <v>0</v>
      </c>
      <c r="AA42" s="270">
        <f t="shared" si="8"/>
        <v>2.2569444444444444E-2</v>
      </c>
      <c r="AB42" s="270">
        <f t="shared" si="8"/>
        <v>0.2170138888888889</v>
      </c>
    </row>
    <row r="43" spans="1:31">
      <c r="E43" s="72"/>
      <c r="G43" s="598"/>
      <c r="H43" s="5"/>
    </row>
    <row r="44" spans="1:31">
      <c r="E44" s="72"/>
      <c r="G44" s="598"/>
      <c r="H44" s="5"/>
    </row>
    <row r="45" spans="1:31" ht="15.75">
      <c r="D45" s="72" t="s">
        <v>103</v>
      </c>
      <c r="E45">
        <v>144</v>
      </c>
      <c r="G45" s="180" t="s">
        <v>70</v>
      </c>
      <c r="K45" s="176">
        <f>+E46/E45</f>
        <v>1</v>
      </c>
      <c r="M45"/>
      <c r="T45" s="596"/>
      <c r="U45" s="596"/>
      <c r="V45" s="596"/>
      <c r="Z45" s="277"/>
    </row>
    <row r="46" spans="1:31" ht="15.75">
      <c r="D46" s="72" t="s">
        <v>69</v>
      </c>
      <c r="E46" s="71">
        <f>E45-W39</f>
        <v>144</v>
      </c>
      <c r="G46" s="180" t="s">
        <v>71</v>
      </c>
      <c r="K46" s="176">
        <f>+E47/E46</f>
        <v>0.72916666666666663</v>
      </c>
      <c r="M46"/>
      <c r="T46" s="597"/>
      <c r="U46" s="597"/>
      <c r="V46" s="597"/>
      <c r="AC46" s="276"/>
    </row>
    <row r="47" spans="1:31" ht="15.75">
      <c r="D47" s="72" t="s">
        <v>68</v>
      </c>
      <c r="E47" s="71">
        <f>+E46--Z39-AA39-V39-Y39-AB39</f>
        <v>105</v>
      </c>
      <c r="G47" s="180" t="s">
        <v>104</v>
      </c>
      <c r="K47" s="176">
        <f>+E48/E47</f>
        <v>1</v>
      </c>
      <c r="L47"/>
      <c r="M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31">
      <c r="D48" s="72" t="s">
        <v>72</v>
      </c>
      <c r="E48" s="71">
        <f>E47-X39</f>
        <v>105</v>
      </c>
      <c r="L48" s="69"/>
      <c r="M48" s="177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7:28" s="4" customFormat="1" ht="15.75">
      <c r="G49" s="180"/>
      <c r="H49" s="67"/>
      <c r="I49"/>
      <c r="J49"/>
      <c r="K49" s="66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7:28" s="4" customFormat="1">
      <c r="G50"/>
      <c r="H50" s="67"/>
      <c r="I50"/>
      <c r="J50"/>
      <c r="K50" s="66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7:28" s="4" customFormat="1">
      <c r="G51"/>
      <c r="H51" s="66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7:28" s="4" customFormat="1">
      <c r="G52"/>
      <c r="H52"/>
      <c r="I52"/>
      <c r="J52"/>
      <c r="K52" s="5"/>
      <c r="L52" s="73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7:28" s="4" customFormat="1">
      <c r="G53"/>
      <c r="H53"/>
      <c r="I53"/>
      <c r="J53"/>
      <c r="K53" s="5"/>
      <c r="L53" s="5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7:28" s="4" customFormat="1">
      <c r="G54"/>
      <c r="H54"/>
      <c r="I54"/>
      <c r="J54"/>
      <c r="K54" s="5"/>
      <c r="L54" s="73"/>
      <c r="M54" s="5"/>
      <c r="N54"/>
      <c r="O54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7:28" s="4" customFormat="1" ht="18">
      <c r="G55"/>
      <c r="H55" s="58"/>
      <c r="I55"/>
      <c r="J55" s="5"/>
      <c r="K55" s="5"/>
      <c r="L55" s="5"/>
      <c r="M55" s="5"/>
      <c r="N55"/>
      <c r="O5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7:28" s="4" customFormat="1">
      <c r="G56"/>
      <c r="H56"/>
      <c r="I56"/>
      <c r="J56" s="5"/>
      <c r="K56" s="5"/>
      <c r="L56" s="178"/>
      <c r="M56" s="5"/>
      <c r="N56"/>
      <c r="O56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7:28" s="4" customFormat="1" ht="18">
      <c r="G57"/>
      <c r="H57" s="58"/>
      <c r="I57"/>
      <c r="J57" s="5"/>
      <c r="K57" s="5"/>
      <c r="L57" s="5"/>
      <c r="M57" s="5"/>
      <c r="N57"/>
      <c r="O57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</sheetData>
  <mergeCells count="193">
    <mergeCell ref="F10:F11"/>
    <mergeCell ref="J10:J11"/>
    <mergeCell ref="K10:K11"/>
    <mergeCell ref="G3:H3"/>
    <mergeCell ref="G4:H4"/>
    <mergeCell ref="G5:H5"/>
    <mergeCell ref="G6:H6"/>
    <mergeCell ref="B8:B9"/>
    <mergeCell ref="C8:C9"/>
    <mergeCell ref="D8:D9"/>
    <mergeCell ref="E8:H8"/>
    <mergeCell ref="V8:AB8"/>
    <mergeCell ref="S10:S13"/>
    <mergeCell ref="T10:T13"/>
    <mergeCell ref="A11:A13"/>
    <mergeCell ref="U11:U13"/>
    <mergeCell ref="C12:C13"/>
    <mergeCell ref="D12:D13"/>
    <mergeCell ref="G12:G13"/>
    <mergeCell ref="J12:J13"/>
    <mergeCell ref="K12:K13"/>
    <mergeCell ref="L12:L13"/>
    <mergeCell ref="L10:L11"/>
    <mergeCell ref="M10:M11"/>
    <mergeCell ref="N10:N11"/>
    <mergeCell ref="P10:P13"/>
    <mergeCell ref="Q10:Q13"/>
    <mergeCell ref="R10:R13"/>
    <mergeCell ref="M12:M13"/>
    <mergeCell ref="J8:N8"/>
    <mergeCell ref="O8:O9"/>
    <mergeCell ref="R8:R9"/>
    <mergeCell ref="S8:T8"/>
    <mergeCell ref="B10:B13"/>
    <mergeCell ref="C10:C11"/>
    <mergeCell ref="U15:U17"/>
    <mergeCell ref="J14:J15"/>
    <mergeCell ref="K14:K15"/>
    <mergeCell ref="L14:L15"/>
    <mergeCell ref="M14:M15"/>
    <mergeCell ref="N14:N15"/>
    <mergeCell ref="O14:O17"/>
    <mergeCell ref="J16:J17"/>
    <mergeCell ref="K16:K17"/>
    <mergeCell ref="L16:L17"/>
    <mergeCell ref="M16:M17"/>
    <mergeCell ref="A14:A17"/>
    <mergeCell ref="B14:B17"/>
    <mergeCell ref="C14:C15"/>
    <mergeCell ref="D14:D15"/>
    <mergeCell ref="G14:G15"/>
    <mergeCell ref="I14:I17"/>
    <mergeCell ref="C16:C17"/>
    <mergeCell ref="D16:D17"/>
    <mergeCell ref="G18:G19"/>
    <mergeCell ref="G16:G17"/>
    <mergeCell ref="C20:C21"/>
    <mergeCell ref="D20:D21"/>
    <mergeCell ref="K18:K19"/>
    <mergeCell ref="L18:L19"/>
    <mergeCell ref="M18:M19"/>
    <mergeCell ref="N18:N19"/>
    <mergeCell ref="O18:O21"/>
    <mergeCell ref="P18:P21"/>
    <mergeCell ref="A18:A21"/>
    <mergeCell ref="B18:B21"/>
    <mergeCell ref="C18:C19"/>
    <mergeCell ref="D18:D19"/>
    <mergeCell ref="I18:I21"/>
    <mergeCell ref="J18:J19"/>
    <mergeCell ref="A23:A25"/>
    <mergeCell ref="U23:U25"/>
    <mergeCell ref="C24:C25"/>
    <mergeCell ref="D24:D25"/>
    <mergeCell ref="N22:N23"/>
    <mergeCell ref="O22:O25"/>
    <mergeCell ref="P22:P25"/>
    <mergeCell ref="Q22:Q25"/>
    <mergeCell ref="R22:R25"/>
    <mergeCell ref="S22:S25"/>
    <mergeCell ref="H22:H23"/>
    <mergeCell ref="J22:J23"/>
    <mergeCell ref="K22:K23"/>
    <mergeCell ref="L22:L23"/>
    <mergeCell ref="M22:M23"/>
    <mergeCell ref="B22:B25"/>
    <mergeCell ref="C22:C23"/>
    <mergeCell ref="D22:D23"/>
    <mergeCell ref="I22:I25"/>
    <mergeCell ref="E22:E23"/>
    <mergeCell ref="F22:F23"/>
    <mergeCell ref="G22:G23"/>
    <mergeCell ref="T22:T25"/>
    <mergeCell ref="A27:A29"/>
    <mergeCell ref="H26:H27"/>
    <mergeCell ref="J26:J27"/>
    <mergeCell ref="K26:K27"/>
    <mergeCell ref="L26:L27"/>
    <mergeCell ref="M26:M27"/>
    <mergeCell ref="N26:N27"/>
    <mergeCell ref="B26:B29"/>
    <mergeCell ref="C26:C27"/>
    <mergeCell ref="D26:D27"/>
    <mergeCell ref="E26:E27"/>
    <mergeCell ref="F26:F27"/>
    <mergeCell ref="G26:G27"/>
    <mergeCell ref="D30:D31"/>
    <mergeCell ref="F30:F31"/>
    <mergeCell ref="G30:G31"/>
    <mergeCell ref="U27:U29"/>
    <mergeCell ref="C28:C29"/>
    <mergeCell ref="D28:D29"/>
    <mergeCell ref="G28:G29"/>
    <mergeCell ref="P26:P29"/>
    <mergeCell ref="Q26:Q29"/>
    <mergeCell ref="R26:R29"/>
    <mergeCell ref="S26:S29"/>
    <mergeCell ref="T26:T29"/>
    <mergeCell ref="T30:T33"/>
    <mergeCell ref="A31:A33"/>
    <mergeCell ref="U31:U33"/>
    <mergeCell ref="C32:C33"/>
    <mergeCell ref="D32:D33"/>
    <mergeCell ref="G32:G33"/>
    <mergeCell ref="J32:J33"/>
    <mergeCell ref="K32:K33"/>
    <mergeCell ref="L32:L33"/>
    <mergeCell ref="M32:M33"/>
    <mergeCell ref="N30:N31"/>
    <mergeCell ref="O30:O31"/>
    <mergeCell ref="P30:P33"/>
    <mergeCell ref="Q30:Q33"/>
    <mergeCell ref="R30:R33"/>
    <mergeCell ref="S30:S33"/>
    <mergeCell ref="N32:N33"/>
    <mergeCell ref="H30:H31"/>
    <mergeCell ref="I30:I31"/>
    <mergeCell ref="J30:J31"/>
    <mergeCell ref="K30:K31"/>
    <mergeCell ref="L30:L31"/>
    <mergeCell ref="M30:M31"/>
    <mergeCell ref="B30:B33"/>
    <mergeCell ref="C30:C31"/>
    <mergeCell ref="A35:A37"/>
    <mergeCell ref="C36:C37"/>
    <mergeCell ref="D36:D37"/>
    <mergeCell ref="J36:J37"/>
    <mergeCell ref="K36:K37"/>
    <mergeCell ref="H34:H35"/>
    <mergeCell ref="J34:J35"/>
    <mergeCell ref="K34:K35"/>
    <mergeCell ref="L34:L35"/>
    <mergeCell ref="B34:B37"/>
    <mergeCell ref="C34:C35"/>
    <mergeCell ref="D34:D35"/>
    <mergeCell ref="E34:E35"/>
    <mergeCell ref="F34:F35"/>
    <mergeCell ref="G34:G35"/>
    <mergeCell ref="B38:D39"/>
    <mergeCell ref="J38:J39"/>
    <mergeCell ref="K38:K39"/>
    <mergeCell ref="L38:L39"/>
    <mergeCell ref="M38:M39"/>
    <mergeCell ref="N38:N39"/>
    <mergeCell ref="P34:P37"/>
    <mergeCell ref="Q34:Q37"/>
    <mergeCell ref="R34:R37"/>
    <mergeCell ref="M34:M35"/>
    <mergeCell ref="N34:N35"/>
    <mergeCell ref="P3:Q3"/>
    <mergeCell ref="P4:Q4"/>
    <mergeCell ref="P5:Q5"/>
    <mergeCell ref="P6:Q6"/>
    <mergeCell ref="E40:H40"/>
    <mergeCell ref="S41:T41"/>
    <mergeCell ref="G43:G44"/>
    <mergeCell ref="T45:V45"/>
    <mergeCell ref="T46:V46"/>
    <mergeCell ref="L36:L37"/>
    <mergeCell ref="M36:M37"/>
    <mergeCell ref="N36:N37"/>
    <mergeCell ref="S34:S37"/>
    <mergeCell ref="T34:T37"/>
    <mergeCell ref="S18:S21"/>
    <mergeCell ref="T18:T21"/>
    <mergeCell ref="U19:U21"/>
    <mergeCell ref="P14:P17"/>
    <mergeCell ref="Q14:Q17"/>
    <mergeCell ref="R14:R17"/>
    <mergeCell ref="Q18:Q21"/>
    <mergeCell ref="R18:R21"/>
    <mergeCell ref="S14:S17"/>
    <mergeCell ref="T14:T1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57"/>
  <sheetViews>
    <sheetView showGridLines="0" zoomScale="80" zoomScaleNormal="80" workbookViewId="0">
      <pane ySplit="9" topLeftCell="A34" activePane="bottomLeft" state="frozen"/>
      <selection activeCell="C1" sqref="C1"/>
      <selection pane="bottomLeft" activeCell="S49" sqref="S49"/>
    </sheetView>
  </sheetViews>
  <sheetFormatPr baseColWidth="10" defaultRowHeight="15"/>
  <cols>
    <col min="1" max="1" width="6" customWidth="1"/>
    <col min="2" max="2" width="10.28515625" customWidth="1"/>
    <col min="4" max="4" width="15" customWidth="1"/>
    <col min="5" max="7" width="8.5703125" customWidth="1"/>
    <col min="8" max="8" width="9.5703125" customWidth="1"/>
    <col min="9" max="9" width="1.140625" customWidth="1"/>
    <col min="10" max="13" width="9.28515625" style="5" hidden="1" customWidth="1"/>
    <col min="14" max="14" width="9.28515625" hidden="1" customWidth="1"/>
    <col min="15" max="15" width="1.140625" customWidth="1"/>
    <col min="16" max="16" width="8.85546875" style="3" customWidth="1"/>
    <col min="17" max="17" width="9" style="3" customWidth="1"/>
    <col min="18" max="20" width="9.5703125" style="3" customWidth="1"/>
    <col min="21" max="21" width="9" style="3" hidden="1" customWidth="1"/>
    <col min="22" max="28" width="8.42578125" style="3" customWidth="1"/>
    <col min="29" max="29" width="39.85546875" style="4" customWidth="1"/>
    <col min="30" max="30" width="11.42578125" style="202"/>
  </cols>
  <sheetData>
    <row r="1" spans="1:30" ht="65.25" customHeight="1">
      <c r="L1"/>
      <c r="M1"/>
      <c r="P1" s="628" t="s">
        <v>110</v>
      </c>
      <c r="Q1" s="628"/>
      <c r="R1" s="628"/>
      <c r="S1" s="628"/>
      <c r="T1" s="628"/>
      <c r="U1" s="628"/>
      <c r="V1" s="628"/>
      <c r="W1" s="628"/>
    </row>
    <row r="2" spans="1:30">
      <c r="J2" s="5" t="str">
        <f>J9</f>
        <v>Résine</v>
      </c>
      <c r="K2" s="5" t="str">
        <f>K9</f>
        <v xml:space="preserve">Charge </v>
      </c>
      <c r="L2" t="str">
        <f>L9</f>
        <v>DOP</v>
      </c>
      <c r="M2" t="str">
        <f>M9</f>
        <v>Stab.</v>
      </c>
      <c r="N2" s="5" t="s">
        <v>14</v>
      </c>
      <c r="O2" s="135"/>
      <c r="Q2" s="134"/>
      <c r="S2" s="128"/>
      <c r="T2" s="128"/>
      <c r="U2" s="134"/>
      <c r="V2" s="134"/>
      <c r="W2" s="134"/>
      <c r="X2" s="134"/>
      <c r="Y2" s="134"/>
      <c r="Z2" s="134"/>
      <c r="AA2" s="134"/>
      <c r="AB2" s="134"/>
    </row>
    <row r="3" spans="1:30" ht="15.75" customHeight="1">
      <c r="B3" t="s">
        <v>67</v>
      </c>
      <c r="D3" s="170" t="s">
        <v>64</v>
      </c>
      <c r="E3" s="171">
        <v>168</v>
      </c>
      <c r="F3" t="s">
        <v>66</v>
      </c>
      <c r="G3" s="537" t="str">
        <f>E9</f>
        <v>PVC Isolat°</v>
      </c>
      <c r="H3" s="537"/>
      <c r="I3" s="133"/>
      <c r="J3" s="1">
        <v>0.46</v>
      </c>
      <c r="K3" s="2">
        <v>0.30620000000000003</v>
      </c>
      <c r="L3" s="2">
        <v>0.22</v>
      </c>
      <c r="M3" s="2">
        <v>1.38E-2</v>
      </c>
      <c r="N3" s="6"/>
      <c r="O3" s="11"/>
      <c r="P3" s="77"/>
      <c r="Q3" s="132"/>
      <c r="R3" s="7"/>
      <c r="S3" s="128"/>
      <c r="T3" s="128"/>
      <c r="U3" s="132"/>
      <c r="V3" s="132"/>
      <c r="W3" s="132"/>
      <c r="X3" s="132"/>
      <c r="Y3" s="132"/>
      <c r="Z3" s="132"/>
      <c r="AA3" s="132"/>
      <c r="AB3" s="132"/>
    </row>
    <row r="4" spans="1:30" ht="15.75" customHeight="1">
      <c r="B4" t="s">
        <v>63</v>
      </c>
      <c r="D4" s="170" t="s">
        <v>65</v>
      </c>
      <c r="E4">
        <v>144</v>
      </c>
      <c r="F4" t="s">
        <v>66</v>
      </c>
      <c r="G4" s="538" t="str">
        <f>F9</f>
        <v>PVC Gris</v>
      </c>
      <c r="H4" s="538"/>
      <c r="I4" s="131"/>
      <c r="J4" s="8">
        <v>0.45</v>
      </c>
      <c r="K4" s="8">
        <v>0.26829999999999998</v>
      </c>
      <c r="L4" s="8">
        <v>0.26790000000000003</v>
      </c>
      <c r="M4" s="8">
        <v>1.38E-2</v>
      </c>
      <c r="N4" s="8">
        <v>7.4000000000000003E-3</v>
      </c>
      <c r="O4" s="130"/>
      <c r="P4" s="128"/>
      <c r="R4" s="128"/>
    </row>
    <row r="5" spans="1:30" ht="15.75" customHeight="1">
      <c r="B5" t="s">
        <v>62</v>
      </c>
      <c r="D5" s="172">
        <v>10320</v>
      </c>
      <c r="E5" t="s">
        <v>61</v>
      </c>
      <c r="G5" s="539" t="str">
        <f>G9</f>
        <v>PVC Gainage</v>
      </c>
      <c r="H5" s="539"/>
      <c r="I5" s="129"/>
      <c r="J5" s="9">
        <v>0.45</v>
      </c>
      <c r="K5" s="9">
        <v>0.26829999999999998</v>
      </c>
      <c r="L5" s="9">
        <v>0.26790000000000003</v>
      </c>
      <c r="M5" s="9">
        <v>1.38E-2</v>
      </c>
      <c r="N5" s="6"/>
      <c r="O5" s="11"/>
      <c r="P5" s="7"/>
      <c r="R5" s="128"/>
      <c r="X5" s="127"/>
    </row>
    <row r="6" spans="1:30" ht="15.75" customHeight="1">
      <c r="D6">
        <f>D5/2</f>
        <v>5160</v>
      </c>
      <c r="E6" t="s">
        <v>83</v>
      </c>
      <c r="G6" s="540" t="str">
        <f>H9</f>
        <v>PVC Bourrage</v>
      </c>
      <c r="H6" s="540"/>
      <c r="I6" s="126"/>
      <c r="J6" s="10">
        <v>0.35320000000000001</v>
      </c>
      <c r="K6" s="10">
        <v>0.42420000000000002</v>
      </c>
      <c r="L6" s="10">
        <v>0.21199999999999999</v>
      </c>
      <c r="M6" s="10">
        <v>1.06E-2</v>
      </c>
      <c r="N6" s="6"/>
      <c r="O6" s="11"/>
      <c r="P6" s="7"/>
      <c r="Q6" s="125"/>
      <c r="R6" s="3">
        <v>12</v>
      </c>
      <c r="T6" s="7"/>
      <c r="U6" s="125"/>
      <c r="V6" s="125"/>
      <c r="W6" s="125"/>
      <c r="X6" s="125"/>
      <c r="Y6" s="125"/>
      <c r="Z6" s="125"/>
      <c r="AA6" s="125"/>
      <c r="AB6" s="125"/>
    </row>
    <row r="7" spans="1:30" s="11" customFormat="1">
      <c r="H7" s="12"/>
      <c r="Q7" s="125"/>
      <c r="R7" s="124">
        <v>24</v>
      </c>
      <c r="T7" s="3"/>
      <c r="U7" s="13"/>
      <c r="V7" s="13"/>
      <c r="W7" s="13"/>
      <c r="X7" s="13"/>
      <c r="Y7" s="13"/>
      <c r="Z7" s="13"/>
      <c r="AA7" s="13"/>
      <c r="AB7" s="13"/>
      <c r="AC7" s="14"/>
      <c r="AD7" s="12"/>
    </row>
    <row r="8" spans="1:30" ht="18.75" customHeight="1">
      <c r="B8" s="505" t="s">
        <v>0</v>
      </c>
      <c r="C8" s="505" t="s">
        <v>1</v>
      </c>
      <c r="D8" s="505" t="s">
        <v>2</v>
      </c>
      <c r="E8" s="509" t="s">
        <v>3</v>
      </c>
      <c r="F8" s="509"/>
      <c r="G8" s="509"/>
      <c r="H8" s="546"/>
      <c r="I8" s="15"/>
      <c r="J8" s="508" t="s">
        <v>4</v>
      </c>
      <c r="K8" s="509"/>
      <c r="L8" s="509"/>
      <c r="M8" s="509"/>
      <c r="N8" s="509"/>
      <c r="O8" s="506"/>
      <c r="P8" s="123" t="s">
        <v>49</v>
      </c>
      <c r="Q8" s="122" t="s">
        <v>48</v>
      </c>
      <c r="R8" s="541" t="s">
        <v>47</v>
      </c>
      <c r="S8" s="568" t="s">
        <v>46</v>
      </c>
      <c r="T8" s="568"/>
      <c r="V8" s="550" t="s">
        <v>33</v>
      </c>
      <c r="W8" s="551"/>
      <c r="X8" s="551"/>
      <c r="Y8" s="551"/>
      <c r="Z8" s="551"/>
      <c r="AA8" s="552"/>
      <c r="AB8" s="310"/>
      <c r="AC8" s="121"/>
    </row>
    <row r="9" spans="1:30" ht="35.25" customHeight="1">
      <c r="B9" s="505"/>
      <c r="C9" s="505"/>
      <c r="D9" s="505"/>
      <c r="E9" s="120" t="s">
        <v>6</v>
      </c>
      <c r="F9" s="119" t="s">
        <v>7</v>
      </c>
      <c r="G9" s="118" t="s">
        <v>8</v>
      </c>
      <c r="H9" s="117" t="s">
        <v>9</v>
      </c>
      <c r="I9" s="16"/>
      <c r="J9" s="17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507"/>
      <c r="P9" s="116" t="s">
        <v>45</v>
      </c>
      <c r="Q9" s="116" t="s">
        <v>44</v>
      </c>
      <c r="R9" s="542"/>
      <c r="S9" s="115" t="s">
        <v>43</v>
      </c>
      <c r="T9" s="114" t="s">
        <v>42</v>
      </c>
      <c r="U9" s="64"/>
      <c r="V9" s="204" t="s">
        <v>41</v>
      </c>
      <c r="W9" s="205" t="s">
        <v>40</v>
      </c>
      <c r="X9" s="206" t="s">
        <v>39</v>
      </c>
      <c r="Y9" s="207" t="s">
        <v>75</v>
      </c>
      <c r="Z9" s="208" t="s">
        <v>76</v>
      </c>
      <c r="AA9" s="291" t="s">
        <v>77</v>
      </c>
      <c r="AB9" s="292" t="s">
        <v>88</v>
      </c>
      <c r="AC9" s="136" t="s">
        <v>5</v>
      </c>
    </row>
    <row r="10" spans="1:30" ht="17.25" customHeight="1">
      <c r="B10" s="560">
        <v>42905</v>
      </c>
      <c r="C10" s="495" t="s">
        <v>16</v>
      </c>
      <c r="D10" s="137"/>
      <c r="E10" s="313"/>
      <c r="F10" s="569"/>
      <c r="G10" s="313"/>
      <c r="H10" s="313"/>
      <c r="I10" s="138"/>
      <c r="J10" s="570"/>
      <c r="K10" s="570"/>
      <c r="L10" s="570"/>
      <c r="M10" s="570"/>
      <c r="N10" s="570"/>
      <c r="O10" s="21"/>
      <c r="P10" s="495">
        <f>F12</f>
        <v>1080</v>
      </c>
      <c r="Q10" s="562">
        <f>P10*R7/D5</f>
        <v>2.5116279069767442</v>
      </c>
      <c r="R10" s="553">
        <f>+Q10/R7</f>
        <v>0.10465116279069768</v>
      </c>
      <c r="S10" s="495">
        <f>D5-P10</f>
        <v>9240</v>
      </c>
      <c r="T10" s="567">
        <f>S10/D5</f>
        <v>0.89534883720930236</v>
      </c>
      <c r="U10" s="113"/>
      <c r="V10" s="112">
        <v>2</v>
      </c>
      <c r="W10" s="216"/>
      <c r="X10" s="216"/>
      <c r="Y10" s="216"/>
      <c r="Z10" s="216"/>
      <c r="AA10" s="216"/>
      <c r="AB10" s="217"/>
      <c r="AC10" s="111" t="s">
        <v>73</v>
      </c>
    </row>
    <row r="11" spans="1:30" ht="17.25" customHeight="1">
      <c r="A11" s="510" t="s">
        <v>15</v>
      </c>
      <c r="B11" s="512"/>
      <c r="C11" s="467"/>
      <c r="D11" s="137"/>
      <c r="E11" s="313"/>
      <c r="F11" s="471"/>
      <c r="G11" s="313"/>
      <c r="H11" s="313"/>
      <c r="I11" s="138"/>
      <c r="J11" s="571"/>
      <c r="K11" s="571"/>
      <c r="L11" s="571"/>
      <c r="M11" s="571"/>
      <c r="N11" s="571"/>
      <c r="O11" s="21"/>
      <c r="P11" s="450"/>
      <c r="Q11" s="453"/>
      <c r="R11" s="573"/>
      <c r="S11" s="450"/>
      <c r="T11" s="477"/>
      <c r="U11" s="564">
        <f>Q10+Y13</f>
        <v>2.5116279069767442</v>
      </c>
      <c r="V11" s="89"/>
      <c r="W11" s="210"/>
      <c r="X11" s="210"/>
      <c r="Y11" s="210"/>
      <c r="Z11" s="210"/>
      <c r="AA11" s="210"/>
      <c r="AB11" s="194"/>
      <c r="AC11" s="90"/>
    </row>
    <row r="12" spans="1:30" ht="17.25" customHeight="1">
      <c r="A12" s="510"/>
      <c r="B12" s="512"/>
      <c r="C12" s="495" t="s">
        <v>19</v>
      </c>
      <c r="D12" s="493" t="s">
        <v>22</v>
      </c>
      <c r="E12" s="313"/>
      <c r="F12" s="496">
        <v>1080</v>
      </c>
      <c r="G12" s="324"/>
      <c r="H12" s="313"/>
      <c r="I12" s="21"/>
      <c r="J12" s="474">
        <f>$F12*J$4</f>
        <v>486</v>
      </c>
      <c r="K12" s="474">
        <f>$F12*K$4</f>
        <v>289.76400000000001</v>
      </c>
      <c r="L12" s="474">
        <f>$F12*L$4</f>
        <v>289.33200000000005</v>
      </c>
      <c r="M12" s="474">
        <f>$F12*M$4</f>
        <v>14.904</v>
      </c>
      <c r="N12" s="474">
        <f>$F12*N$4</f>
        <v>7.992</v>
      </c>
      <c r="O12" s="21"/>
      <c r="P12" s="450"/>
      <c r="Q12" s="453"/>
      <c r="R12" s="573"/>
      <c r="S12" s="450"/>
      <c r="T12" s="477"/>
      <c r="U12" s="480"/>
      <c r="V12" s="89"/>
      <c r="W12" s="139"/>
      <c r="X12" s="320"/>
      <c r="Y12" s="248"/>
      <c r="Z12" s="210"/>
      <c r="AA12" s="210"/>
      <c r="AB12" s="194"/>
      <c r="AC12" s="90"/>
    </row>
    <row r="13" spans="1:30" ht="17.25" customHeight="1" thickBot="1">
      <c r="A13" s="510"/>
      <c r="B13" s="513"/>
      <c r="C13" s="451"/>
      <c r="D13" s="494"/>
      <c r="E13" s="22"/>
      <c r="F13" s="578"/>
      <c r="G13" s="22"/>
      <c r="H13" s="22"/>
      <c r="I13" s="23"/>
      <c r="J13" s="575"/>
      <c r="K13" s="575"/>
      <c r="L13" s="575"/>
      <c r="M13" s="575"/>
      <c r="N13" s="575"/>
      <c r="O13" s="23"/>
      <c r="P13" s="451"/>
      <c r="Q13" s="454"/>
      <c r="R13" s="554"/>
      <c r="S13" s="451"/>
      <c r="T13" s="478"/>
      <c r="U13" s="481"/>
      <c r="V13" s="86"/>
      <c r="W13" s="85"/>
      <c r="X13" s="85"/>
      <c r="Y13" s="230"/>
      <c r="Z13" s="231"/>
      <c r="AA13" s="231"/>
      <c r="AB13" s="295">
        <v>7.5</v>
      </c>
      <c r="AC13" s="330" t="s">
        <v>91</v>
      </c>
      <c r="AD13" s="203">
        <f>SUM(V10:AB13)+Q10</f>
        <v>12.011627906976745</v>
      </c>
    </row>
    <row r="14" spans="1:30" ht="18.75" customHeight="1" thickTop="1">
      <c r="A14" s="510" t="s">
        <v>21</v>
      </c>
      <c r="B14" s="511">
        <v>42906</v>
      </c>
      <c r="C14" s="449" t="s">
        <v>16</v>
      </c>
      <c r="D14" s="468" t="s">
        <v>17</v>
      </c>
      <c r="E14" s="313"/>
      <c r="F14" s="488">
        <v>5280</v>
      </c>
      <c r="G14" s="324"/>
      <c r="H14" s="313"/>
      <c r="I14" s="491"/>
      <c r="J14" s="625">
        <f>$F14*J$4</f>
        <v>2376</v>
      </c>
      <c r="K14" s="625">
        <f t="shared" ref="K14:N14" si="0">$F14*K$4</f>
        <v>1416.6239999999998</v>
      </c>
      <c r="L14" s="625">
        <f t="shared" si="0"/>
        <v>1414.5120000000002</v>
      </c>
      <c r="M14" s="625">
        <f t="shared" si="0"/>
        <v>72.864000000000004</v>
      </c>
      <c r="N14" s="625">
        <f t="shared" si="0"/>
        <v>39.072000000000003</v>
      </c>
      <c r="O14" s="491"/>
      <c r="P14" s="449">
        <f>+SUM(E14:H17)</f>
        <v>10560</v>
      </c>
      <c r="Q14" s="502">
        <f>P14*R7/D5</f>
        <v>24.558139534883722</v>
      </c>
      <c r="R14" s="455">
        <f>Q14/R7</f>
        <v>1.0232558139534884</v>
      </c>
      <c r="S14" s="449">
        <f>+D5-P14</f>
        <v>-240</v>
      </c>
      <c r="T14" s="476">
        <f>S14/D5</f>
        <v>-2.3255813953488372E-2</v>
      </c>
      <c r="U14" s="305"/>
      <c r="V14" s="254"/>
      <c r="W14" s="212"/>
      <c r="X14" s="212"/>
      <c r="Y14" s="212"/>
      <c r="Z14" s="212"/>
      <c r="AA14" s="212"/>
      <c r="AB14" s="196"/>
      <c r="AC14" s="97"/>
      <c r="AD14" s="203"/>
    </row>
    <row r="15" spans="1:30" ht="18.75" customHeight="1">
      <c r="A15" s="510"/>
      <c r="B15" s="512"/>
      <c r="C15" s="467"/>
      <c r="D15" s="469"/>
      <c r="E15" s="313"/>
      <c r="F15" s="489"/>
      <c r="G15" s="324"/>
      <c r="H15" s="313"/>
      <c r="I15" s="448"/>
      <c r="J15" s="575"/>
      <c r="K15" s="575"/>
      <c r="L15" s="575"/>
      <c r="M15" s="575"/>
      <c r="N15" s="575"/>
      <c r="O15" s="448"/>
      <c r="P15" s="450"/>
      <c r="Q15" s="503"/>
      <c r="R15" s="456"/>
      <c r="S15" s="450"/>
      <c r="T15" s="477"/>
      <c r="U15" s="564">
        <f>Q14+Y15+Y17</f>
        <v>24.558139534883722</v>
      </c>
      <c r="V15" s="232"/>
      <c r="W15" s="210"/>
      <c r="X15" s="249"/>
      <c r="Y15" s="210"/>
      <c r="Z15" s="210"/>
      <c r="AA15" s="210"/>
      <c r="AB15" s="194"/>
      <c r="AC15" s="190"/>
      <c r="AD15" s="203"/>
    </row>
    <row r="16" spans="1:30" ht="18.75" customHeight="1">
      <c r="A16" s="510"/>
      <c r="B16" s="512"/>
      <c r="C16" s="495" t="s">
        <v>19</v>
      </c>
      <c r="D16" s="493" t="s">
        <v>22</v>
      </c>
      <c r="E16" s="313"/>
      <c r="F16" s="496">
        <v>5280</v>
      </c>
      <c r="G16" s="324"/>
      <c r="H16" s="313"/>
      <c r="I16" s="448"/>
      <c r="J16" s="474">
        <f>$F16*J$4</f>
        <v>2376</v>
      </c>
      <c r="K16" s="474">
        <f t="shared" ref="K16:N16" si="1">$F16*K$4</f>
        <v>1416.6239999999998</v>
      </c>
      <c r="L16" s="474">
        <f t="shared" si="1"/>
        <v>1414.5120000000002</v>
      </c>
      <c r="M16" s="474">
        <f t="shared" si="1"/>
        <v>72.864000000000004</v>
      </c>
      <c r="N16" s="474">
        <f t="shared" si="1"/>
        <v>39.072000000000003</v>
      </c>
      <c r="O16" s="448"/>
      <c r="P16" s="450"/>
      <c r="Q16" s="503"/>
      <c r="R16" s="456"/>
      <c r="S16" s="450"/>
      <c r="T16" s="477"/>
      <c r="U16" s="480"/>
      <c r="V16" s="232"/>
      <c r="W16" s="210"/>
      <c r="X16" s="210"/>
      <c r="Y16" s="210"/>
      <c r="Z16" s="210"/>
      <c r="AA16" s="210"/>
      <c r="AB16" s="194"/>
      <c r="AC16" s="190"/>
      <c r="AD16" s="203"/>
    </row>
    <row r="17" spans="1:30" ht="18.75" customHeight="1" thickBot="1">
      <c r="A17" s="510"/>
      <c r="B17" s="513"/>
      <c r="C17" s="451"/>
      <c r="D17" s="494"/>
      <c r="E17" s="22"/>
      <c r="F17" s="489"/>
      <c r="G17" s="22"/>
      <c r="H17" s="22"/>
      <c r="I17" s="492"/>
      <c r="J17" s="575"/>
      <c r="K17" s="575"/>
      <c r="L17" s="575"/>
      <c r="M17" s="575"/>
      <c r="N17" s="575"/>
      <c r="O17" s="492"/>
      <c r="P17" s="451"/>
      <c r="Q17" s="504"/>
      <c r="R17" s="457"/>
      <c r="S17" s="451"/>
      <c r="T17" s="478"/>
      <c r="U17" s="481"/>
      <c r="V17" s="234"/>
      <c r="W17" s="230"/>
      <c r="X17" s="230"/>
      <c r="Y17" s="213"/>
      <c r="Z17" s="213"/>
      <c r="AA17" s="213"/>
      <c r="AB17" s="280"/>
      <c r="AC17" s="281"/>
      <c r="AD17" s="326">
        <f>SUM(V14:AB17)+Q14</f>
        <v>24.558139534883722</v>
      </c>
    </row>
    <row r="18" spans="1:30" ht="16.5" customHeight="1" thickTop="1" thickBot="1">
      <c r="A18" s="510" t="s">
        <v>23</v>
      </c>
      <c r="B18" s="511">
        <v>42907</v>
      </c>
      <c r="C18" s="449" t="s">
        <v>16</v>
      </c>
      <c r="D18" s="468" t="s">
        <v>17</v>
      </c>
      <c r="E18" s="313"/>
      <c r="F18" s="488">
        <v>5280</v>
      </c>
      <c r="G18" s="324"/>
      <c r="H18" s="313"/>
      <c r="I18" s="491"/>
      <c r="J18" s="625">
        <f>$F18*J$4</f>
        <v>2376</v>
      </c>
      <c r="K18" s="625">
        <f t="shared" ref="K18:N18" si="2">$F18*K$4</f>
        <v>1416.6239999999998</v>
      </c>
      <c r="L18" s="625">
        <f t="shared" si="2"/>
        <v>1414.5120000000002</v>
      </c>
      <c r="M18" s="625">
        <f t="shared" si="2"/>
        <v>72.864000000000004</v>
      </c>
      <c r="N18" s="625">
        <f t="shared" si="2"/>
        <v>39.072000000000003</v>
      </c>
      <c r="O18" s="491"/>
      <c r="P18" s="449">
        <f>SUM(E18:H21)</f>
        <v>10440</v>
      </c>
      <c r="Q18" s="502">
        <f>P18*R7/D5</f>
        <v>24.279069767441861</v>
      </c>
      <c r="R18" s="455">
        <f>Q18/R7</f>
        <v>1.0116279069767442</v>
      </c>
      <c r="S18" s="449">
        <f>+D5-P18</f>
        <v>-120</v>
      </c>
      <c r="T18" s="476">
        <f>S18/D5</f>
        <v>-1.1627906976744186E-2</v>
      </c>
      <c r="U18" s="305"/>
      <c r="V18" s="254"/>
      <c r="W18" s="212"/>
      <c r="X18" s="212"/>
      <c r="Y18" s="212"/>
      <c r="Z18" s="212"/>
      <c r="AA18" s="212"/>
      <c r="AB18" s="196"/>
      <c r="AC18" s="189"/>
      <c r="AD18" s="203"/>
    </row>
    <row r="19" spans="1:30" ht="16.5" customHeight="1" thickTop="1">
      <c r="A19" s="510"/>
      <c r="B19" s="512"/>
      <c r="C19" s="467"/>
      <c r="D19" s="469"/>
      <c r="E19" s="313"/>
      <c r="F19" s="489"/>
      <c r="G19" s="324"/>
      <c r="H19" s="313"/>
      <c r="I19" s="448"/>
      <c r="J19" s="575"/>
      <c r="K19" s="575"/>
      <c r="L19" s="575"/>
      <c r="M19" s="575"/>
      <c r="N19" s="575"/>
      <c r="O19" s="448"/>
      <c r="P19" s="450"/>
      <c r="Q19" s="503"/>
      <c r="R19" s="456"/>
      <c r="S19" s="450"/>
      <c r="T19" s="477"/>
      <c r="U19" s="547"/>
      <c r="V19" s="232"/>
      <c r="W19" s="210"/>
      <c r="X19" s="249"/>
      <c r="Y19" s="210"/>
      <c r="Z19" s="210"/>
      <c r="AA19" s="210"/>
      <c r="AB19" s="194"/>
      <c r="AC19" s="190"/>
      <c r="AD19" s="203"/>
    </row>
    <row r="20" spans="1:30" ht="16.5" customHeight="1">
      <c r="A20" s="510"/>
      <c r="B20" s="512"/>
      <c r="C20" s="495" t="s">
        <v>19</v>
      </c>
      <c r="D20" s="493" t="s">
        <v>22</v>
      </c>
      <c r="E20" s="313"/>
      <c r="F20" s="496">
        <v>5160</v>
      </c>
      <c r="G20" s="324"/>
      <c r="H20" s="313"/>
      <c r="I20" s="448"/>
      <c r="J20" s="474">
        <f>$F20*J$4</f>
        <v>2322</v>
      </c>
      <c r="K20" s="474">
        <f t="shared" ref="K20:N20" si="3">$F20*K$4</f>
        <v>1384.4279999999999</v>
      </c>
      <c r="L20" s="474">
        <f t="shared" si="3"/>
        <v>1382.364</v>
      </c>
      <c r="M20" s="474">
        <f t="shared" si="3"/>
        <v>71.207999999999998</v>
      </c>
      <c r="N20" s="474">
        <f t="shared" si="3"/>
        <v>38.184000000000005</v>
      </c>
      <c r="O20" s="448"/>
      <c r="P20" s="450"/>
      <c r="Q20" s="503"/>
      <c r="R20" s="456"/>
      <c r="S20" s="450"/>
      <c r="T20" s="477"/>
      <c r="U20" s="548"/>
      <c r="V20" s="232"/>
      <c r="W20" s="210"/>
      <c r="X20" s="210"/>
      <c r="Y20" s="210"/>
      <c r="Z20" s="210"/>
      <c r="AA20" s="210"/>
      <c r="AB20" s="194"/>
      <c r="AC20" s="282"/>
      <c r="AD20" s="203"/>
    </row>
    <row r="21" spans="1:30" ht="16.5" customHeight="1" thickBot="1">
      <c r="A21" s="510"/>
      <c r="B21" s="513"/>
      <c r="C21" s="451"/>
      <c r="D21" s="494"/>
      <c r="E21" s="22"/>
      <c r="F21" s="489"/>
      <c r="G21" s="22"/>
      <c r="H21" s="22"/>
      <c r="I21" s="492"/>
      <c r="J21" s="575"/>
      <c r="K21" s="575"/>
      <c r="L21" s="575"/>
      <c r="M21" s="575"/>
      <c r="N21" s="575"/>
      <c r="O21" s="492"/>
      <c r="P21" s="451"/>
      <c r="Q21" s="504"/>
      <c r="R21" s="457"/>
      <c r="S21" s="451"/>
      <c r="T21" s="478"/>
      <c r="U21" s="549"/>
      <c r="V21" s="234"/>
      <c r="W21" s="230"/>
      <c r="X21" s="230"/>
      <c r="Y21" s="213"/>
      <c r="Z21" s="213"/>
      <c r="AA21" s="213"/>
      <c r="AB21" s="280"/>
      <c r="AC21" s="191"/>
      <c r="AD21" s="203">
        <f>SUM(V18:AB21)+Q18</f>
        <v>24.279069767441861</v>
      </c>
    </row>
    <row r="22" spans="1:30" ht="17.25" customHeight="1" thickTop="1" thickBot="1">
      <c r="A22" s="308"/>
      <c r="B22" s="511">
        <v>42908</v>
      </c>
      <c r="C22" s="449" t="s">
        <v>16</v>
      </c>
      <c r="D22" s="468" t="s">
        <v>17</v>
      </c>
      <c r="E22" s="531"/>
      <c r="F22" s="488">
        <v>4800</v>
      </c>
      <c r="G22" s="531"/>
      <c r="H22" s="531"/>
      <c r="I22" s="491"/>
      <c r="J22" s="625">
        <f>$F22*J$4</f>
        <v>2160</v>
      </c>
      <c r="K22" s="625">
        <f t="shared" ref="K22:N22" si="4">$F22*K$4</f>
        <v>1287.8399999999999</v>
      </c>
      <c r="L22" s="625">
        <f t="shared" si="4"/>
        <v>1285.92</v>
      </c>
      <c r="M22" s="625">
        <f t="shared" si="4"/>
        <v>66.239999999999995</v>
      </c>
      <c r="N22" s="625">
        <f t="shared" si="4"/>
        <v>35.520000000000003</v>
      </c>
      <c r="O22" s="491"/>
      <c r="P22" s="449">
        <f>SUM(E22:H25)</f>
        <v>9360</v>
      </c>
      <c r="Q22" s="626">
        <f>P22*R7/D5</f>
        <v>21.767441860465116</v>
      </c>
      <c r="R22" s="574">
        <f>Q22/R7</f>
        <v>0.90697674418604646</v>
      </c>
      <c r="S22" s="449">
        <f>D5-P22</f>
        <v>960</v>
      </c>
      <c r="T22" s="485">
        <f>S22/D5</f>
        <v>9.3023255813953487E-2</v>
      </c>
      <c r="U22" s="309"/>
      <c r="V22" s="254"/>
      <c r="W22" s="212"/>
      <c r="X22" s="212"/>
      <c r="Y22" s="212"/>
      <c r="Z22" s="212"/>
      <c r="AA22" s="212"/>
      <c r="AB22" s="196"/>
      <c r="AC22" s="189"/>
      <c r="AD22" s="203"/>
    </row>
    <row r="23" spans="1:30" ht="17.25" customHeight="1" thickTop="1">
      <c r="A23" s="510" t="s">
        <v>24</v>
      </c>
      <c r="B23" s="498"/>
      <c r="C23" s="467"/>
      <c r="D23" s="469"/>
      <c r="E23" s="532"/>
      <c r="F23" s="489"/>
      <c r="G23" s="532"/>
      <c r="H23" s="532"/>
      <c r="I23" s="448"/>
      <c r="J23" s="575"/>
      <c r="K23" s="575"/>
      <c r="L23" s="575"/>
      <c r="M23" s="575"/>
      <c r="N23" s="575"/>
      <c r="O23" s="448"/>
      <c r="P23" s="450"/>
      <c r="Q23" s="627"/>
      <c r="R23" s="573"/>
      <c r="S23" s="450"/>
      <c r="T23" s="486"/>
      <c r="U23" s="482">
        <f>Q22+Y23+Y25</f>
        <v>21.767441860465116</v>
      </c>
      <c r="V23" s="232"/>
      <c r="W23" s="210"/>
      <c r="X23" s="249"/>
      <c r="Y23" s="210"/>
      <c r="Z23" s="210"/>
      <c r="AA23" s="210"/>
      <c r="AB23" s="249"/>
      <c r="AC23" s="190"/>
      <c r="AD23" s="203"/>
    </row>
    <row r="24" spans="1:30" ht="27" customHeight="1">
      <c r="A24" s="510"/>
      <c r="B24" s="498"/>
      <c r="C24" s="495" t="s">
        <v>19</v>
      </c>
      <c r="D24" s="493" t="s">
        <v>22</v>
      </c>
      <c r="E24" s="40"/>
      <c r="F24" s="322">
        <v>1200</v>
      </c>
      <c r="G24" s="40"/>
      <c r="H24" s="40"/>
      <c r="I24" s="21"/>
      <c r="J24" s="323">
        <f>$F24*J$4</f>
        <v>540</v>
      </c>
      <c r="K24" s="325">
        <f t="shared" ref="K24:N24" si="5">$F24*K$4</f>
        <v>321.95999999999998</v>
      </c>
      <c r="L24" s="325">
        <f t="shared" si="5"/>
        <v>321.48</v>
      </c>
      <c r="M24" s="325">
        <f t="shared" si="5"/>
        <v>16.559999999999999</v>
      </c>
      <c r="N24" s="325">
        <f t="shared" si="5"/>
        <v>8.8800000000000008</v>
      </c>
      <c r="O24" s="448"/>
      <c r="P24" s="450"/>
      <c r="Q24" s="627"/>
      <c r="R24" s="573"/>
      <c r="S24" s="450"/>
      <c r="T24" s="486"/>
      <c r="U24" s="483"/>
      <c r="V24" s="232"/>
      <c r="W24" s="210"/>
      <c r="X24" s="210"/>
      <c r="Y24" s="210"/>
      <c r="Z24" s="210"/>
      <c r="AA24" s="210"/>
      <c r="AB24" s="194"/>
      <c r="AC24" s="282"/>
      <c r="AD24" s="203"/>
    </row>
    <row r="25" spans="1:30" ht="27" customHeight="1" thickBot="1">
      <c r="A25" s="510"/>
      <c r="B25" s="498"/>
      <c r="C25" s="498"/>
      <c r="D25" s="494"/>
      <c r="E25" s="293">
        <f>28*120</f>
        <v>3360</v>
      </c>
      <c r="F25" s="22"/>
      <c r="G25" s="324"/>
      <c r="H25" s="22"/>
      <c r="I25" s="21"/>
      <c r="J25" s="319">
        <f>$E25*J3</f>
        <v>1545.6000000000001</v>
      </c>
      <c r="K25" s="319">
        <f t="shared" ref="K25:M25" si="6">$E25*K3</f>
        <v>1028.8320000000001</v>
      </c>
      <c r="L25" s="319">
        <f t="shared" si="6"/>
        <v>739.2</v>
      </c>
      <c r="M25" s="319">
        <f t="shared" si="6"/>
        <v>46.368000000000002</v>
      </c>
      <c r="N25" s="150"/>
      <c r="O25" s="492"/>
      <c r="P25" s="450"/>
      <c r="Q25" s="627"/>
      <c r="R25" s="573"/>
      <c r="S25" s="450"/>
      <c r="T25" s="486"/>
      <c r="U25" s="483"/>
      <c r="V25" s="234"/>
      <c r="W25" s="230"/>
      <c r="X25" s="230"/>
      <c r="Y25" s="213"/>
      <c r="Z25" s="213"/>
      <c r="AA25" s="213"/>
      <c r="AB25" s="331">
        <v>2.25</v>
      </c>
      <c r="AC25" s="330" t="s">
        <v>91</v>
      </c>
      <c r="AD25" s="203">
        <f>SUM(V22:AB25)+Q22</f>
        <v>24.017441860465116</v>
      </c>
    </row>
    <row r="26" spans="1:30" ht="19.5" customHeight="1" thickTop="1" thickBot="1">
      <c r="A26" s="308"/>
      <c r="B26" s="511">
        <v>42909</v>
      </c>
      <c r="C26" s="449" t="s">
        <v>16</v>
      </c>
      <c r="D26" s="468" t="s">
        <v>17</v>
      </c>
      <c r="E26" s="611">
        <f>34*120</f>
        <v>4080</v>
      </c>
      <c r="F26" s="531"/>
      <c r="G26" s="531"/>
      <c r="H26" s="531"/>
      <c r="I26" s="21"/>
      <c r="J26" s="609">
        <f>$E26*J$3</f>
        <v>1876.8000000000002</v>
      </c>
      <c r="K26" s="609">
        <f t="shared" ref="K26:M26" si="7">$E26*K$3</f>
        <v>1249.296</v>
      </c>
      <c r="L26" s="609">
        <f t="shared" si="7"/>
        <v>897.6</v>
      </c>
      <c r="M26" s="609">
        <f t="shared" si="7"/>
        <v>56.304000000000002</v>
      </c>
      <c r="N26" s="576"/>
      <c r="O26" s="21"/>
      <c r="P26" s="449">
        <f>SUM(E26:H29)</f>
        <v>9360</v>
      </c>
      <c r="Q26" s="479">
        <f>P26*R7/D5</f>
        <v>21.767441860465116</v>
      </c>
      <c r="R26" s="574">
        <f>Q26/R7</f>
        <v>0.90697674418604646</v>
      </c>
      <c r="S26" s="449">
        <f>D5-P26</f>
        <v>960</v>
      </c>
      <c r="T26" s="476">
        <f>S26/D5</f>
        <v>9.3023255813953487E-2</v>
      </c>
      <c r="U26" s="306"/>
      <c r="V26" s="254"/>
      <c r="W26" s="212"/>
      <c r="X26" s="212"/>
      <c r="Y26" s="212"/>
      <c r="Z26" s="212"/>
      <c r="AA26" s="212"/>
      <c r="AB26" s="196"/>
      <c r="AC26" s="189"/>
      <c r="AD26" s="203"/>
    </row>
    <row r="27" spans="1:30" ht="19.5" customHeight="1" thickTop="1">
      <c r="A27" s="510" t="s">
        <v>25</v>
      </c>
      <c r="B27" s="512"/>
      <c r="C27" s="467"/>
      <c r="D27" s="469"/>
      <c r="E27" s="612"/>
      <c r="F27" s="532"/>
      <c r="G27" s="532"/>
      <c r="H27" s="532"/>
      <c r="I27" s="21"/>
      <c r="J27" s="610"/>
      <c r="K27" s="610"/>
      <c r="L27" s="610"/>
      <c r="M27" s="610"/>
      <c r="N27" s="585"/>
      <c r="O27" s="21"/>
      <c r="P27" s="450"/>
      <c r="Q27" s="480"/>
      <c r="R27" s="573"/>
      <c r="S27" s="450"/>
      <c r="T27" s="477"/>
      <c r="U27" s="479">
        <f>Y27+Y29+Q26</f>
        <v>21.767441860465116</v>
      </c>
      <c r="V27" s="232"/>
      <c r="W27" s="210"/>
      <c r="X27" s="210"/>
      <c r="Y27" s="210"/>
      <c r="Z27" s="210"/>
      <c r="AA27" s="210"/>
      <c r="AB27" s="194"/>
      <c r="AC27" s="190"/>
      <c r="AD27" s="203"/>
    </row>
    <row r="28" spans="1:30" ht="21" customHeight="1" thickBot="1">
      <c r="A28" s="510"/>
      <c r="B28" s="512"/>
      <c r="C28" s="495" t="s">
        <v>19</v>
      </c>
      <c r="D28" s="493" t="s">
        <v>22</v>
      </c>
      <c r="E28" s="623">
        <f>44*120</f>
        <v>5280</v>
      </c>
      <c r="F28" s="40"/>
      <c r="G28" s="40"/>
      <c r="H28" s="40"/>
      <c r="I28" s="21"/>
      <c r="J28" s="621">
        <f>$E28*J$6</f>
        <v>1864.8960000000002</v>
      </c>
      <c r="K28" s="621">
        <f t="shared" ref="K28:M28" si="8">$E28*K$6</f>
        <v>2239.7760000000003</v>
      </c>
      <c r="L28" s="621">
        <f t="shared" si="8"/>
        <v>1119.3599999999999</v>
      </c>
      <c r="M28" s="621">
        <f t="shared" si="8"/>
        <v>55.968000000000004</v>
      </c>
      <c r="N28" s="44"/>
      <c r="O28" s="21"/>
      <c r="P28" s="450"/>
      <c r="Q28" s="480"/>
      <c r="R28" s="573"/>
      <c r="S28" s="450"/>
      <c r="T28" s="477"/>
      <c r="U28" s="450"/>
      <c r="V28" s="232"/>
      <c r="W28" s="210"/>
      <c r="X28" s="210"/>
      <c r="Y28" s="210"/>
      <c r="Z28" s="210"/>
      <c r="AA28" s="210"/>
      <c r="AB28" s="194"/>
      <c r="AC28" s="282"/>
      <c r="AD28" s="203"/>
    </row>
    <row r="29" spans="1:30" ht="21" customHeight="1" thickTop="1" thickBot="1">
      <c r="A29" s="510"/>
      <c r="B29" s="513"/>
      <c r="C29" s="451"/>
      <c r="D29" s="494"/>
      <c r="E29" s="624"/>
      <c r="F29" s="22"/>
      <c r="G29" s="22"/>
      <c r="H29" s="22"/>
      <c r="I29" s="21"/>
      <c r="J29" s="622"/>
      <c r="K29" s="622"/>
      <c r="L29" s="622"/>
      <c r="M29" s="622"/>
      <c r="N29" s="150"/>
      <c r="O29" s="23"/>
      <c r="P29" s="451"/>
      <c r="Q29" s="481"/>
      <c r="R29" s="554"/>
      <c r="S29" s="451"/>
      <c r="T29" s="478"/>
      <c r="U29" s="451"/>
      <c r="V29" s="234"/>
      <c r="W29" s="230"/>
      <c r="X29" s="230"/>
      <c r="Y29" s="213"/>
      <c r="Z29" s="213"/>
      <c r="AA29" s="213"/>
      <c r="AB29" s="331">
        <v>2.25</v>
      </c>
      <c r="AC29" s="330" t="s">
        <v>91</v>
      </c>
      <c r="AD29" s="203">
        <f>SUM(V26:AB29)+Q26</f>
        <v>24.017441860465116</v>
      </c>
    </row>
    <row r="30" spans="1:30" ht="21" customHeight="1" thickTop="1" thickBot="1">
      <c r="A30" s="308"/>
      <c r="B30" s="511">
        <v>42910</v>
      </c>
      <c r="C30" s="449" t="s">
        <v>16</v>
      </c>
      <c r="D30" s="468" t="s">
        <v>17</v>
      </c>
      <c r="E30" s="611">
        <f>37*120</f>
        <v>4440</v>
      </c>
      <c r="F30" s="531"/>
      <c r="G30" s="531"/>
      <c r="H30" s="531"/>
      <c r="I30" s="448"/>
      <c r="J30" s="609">
        <f>$E30*J$3</f>
        <v>2042.4</v>
      </c>
      <c r="K30" s="609">
        <f t="shared" ref="K30:M30" si="9">$E30*K$3</f>
        <v>1359.528</v>
      </c>
      <c r="L30" s="609">
        <f t="shared" si="9"/>
        <v>976.8</v>
      </c>
      <c r="M30" s="609">
        <f t="shared" si="9"/>
        <v>61.271999999999998</v>
      </c>
      <c r="N30" s="601">
        <f>$F30*N$4</f>
        <v>0</v>
      </c>
      <c r="O30" s="448"/>
      <c r="P30" s="449">
        <f>SUM(E30:H33)</f>
        <v>6940</v>
      </c>
      <c r="Q30" s="452">
        <f>P30*R7/D5</f>
        <v>16.13953488372093</v>
      </c>
      <c r="R30" s="574">
        <f>Q30/R7</f>
        <v>0.67248062015503873</v>
      </c>
      <c r="S30" s="449">
        <f>D5-P30</f>
        <v>3380</v>
      </c>
      <c r="T30" s="458">
        <f>S30/D5</f>
        <v>0.32751937984496127</v>
      </c>
      <c r="U30" s="304"/>
      <c r="V30" s="112">
        <v>3</v>
      </c>
      <c r="W30" s="216"/>
      <c r="X30" s="216"/>
      <c r="Y30" s="216"/>
      <c r="Z30" s="216"/>
      <c r="AA30" s="216"/>
      <c r="AB30" s="217"/>
      <c r="AC30" s="111" t="s">
        <v>101</v>
      </c>
      <c r="AD30" s="203"/>
    </row>
    <row r="31" spans="1:30" ht="21" customHeight="1" thickTop="1">
      <c r="A31" s="510" t="s">
        <v>26</v>
      </c>
      <c r="B31" s="512"/>
      <c r="C31" s="467"/>
      <c r="D31" s="469"/>
      <c r="E31" s="612"/>
      <c r="F31" s="532"/>
      <c r="G31" s="532"/>
      <c r="H31" s="532"/>
      <c r="I31" s="448"/>
      <c r="J31" s="610"/>
      <c r="K31" s="610"/>
      <c r="L31" s="610"/>
      <c r="M31" s="610"/>
      <c r="N31" s="536"/>
      <c r="O31" s="448"/>
      <c r="P31" s="450"/>
      <c r="Q31" s="453"/>
      <c r="R31" s="573"/>
      <c r="S31" s="450"/>
      <c r="T31" s="459"/>
      <c r="U31" s="479">
        <f>Q30+Y32</f>
        <v>16.13953488372093</v>
      </c>
      <c r="V31" s="232"/>
      <c r="W31" s="210"/>
      <c r="X31" s="210"/>
      <c r="Y31" s="210"/>
      <c r="Z31" s="210"/>
      <c r="AA31" s="210"/>
      <c r="AB31" s="194"/>
      <c r="AC31" s="190"/>
      <c r="AD31" s="203"/>
    </row>
    <row r="32" spans="1:30" ht="21" customHeight="1">
      <c r="A32" s="510"/>
      <c r="B32" s="512"/>
      <c r="C32" s="495" t="s">
        <v>19</v>
      </c>
      <c r="D32" s="493" t="s">
        <v>22</v>
      </c>
      <c r="E32" s="623">
        <v>2500</v>
      </c>
      <c r="F32" s="40"/>
      <c r="G32" s="40"/>
      <c r="H32" s="40"/>
      <c r="I32" s="42"/>
      <c r="J32" s="621">
        <f>$E32*J$6</f>
        <v>883</v>
      </c>
      <c r="K32" s="621">
        <f t="shared" ref="K32:M32" si="10">$E32*K$6</f>
        <v>1060.5</v>
      </c>
      <c r="L32" s="621">
        <f t="shared" si="10"/>
        <v>530</v>
      </c>
      <c r="M32" s="621">
        <f t="shared" si="10"/>
        <v>26.5</v>
      </c>
      <c r="N32" s="604">
        <f>$F32*N$4</f>
        <v>0</v>
      </c>
      <c r="O32" s="21"/>
      <c r="P32" s="450"/>
      <c r="Q32" s="453"/>
      <c r="R32" s="573"/>
      <c r="S32" s="450"/>
      <c r="T32" s="459"/>
      <c r="U32" s="480"/>
      <c r="V32" s="232"/>
      <c r="W32" s="210"/>
      <c r="X32" s="210"/>
      <c r="Y32" s="210"/>
      <c r="Z32" s="210"/>
      <c r="AA32" s="210"/>
      <c r="AB32" s="194"/>
      <c r="AC32" s="190"/>
      <c r="AD32" s="203"/>
    </row>
    <row r="33" spans="1:30" ht="21" customHeight="1" thickBot="1">
      <c r="A33" s="510"/>
      <c r="B33" s="513"/>
      <c r="C33" s="451"/>
      <c r="D33" s="494"/>
      <c r="E33" s="624"/>
      <c r="F33" s="22"/>
      <c r="G33" s="22"/>
      <c r="H33" s="22"/>
      <c r="I33" s="158"/>
      <c r="J33" s="622"/>
      <c r="K33" s="622"/>
      <c r="L33" s="622"/>
      <c r="M33" s="622"/>
      <c r="N33" s="535"/>
      <c r="O33" s="21"/>
      <c r="P33" s="451"/>
      <c r="Q33" s="454"/>
      <c r="R33" s="554"/>
      <c r="S33" s="451"/>
      <c r="T33" s="460"/>
      <c r="U33" s="481"/>
      <c r="V33" s="234"/>
      <c r="W33" s="230"/>
      <c r="X33" s="230"/>
      <c r="Y33" s="213"/>
      <c r="Z33" s="213"/>
      <c r="AA33" s="213"/>
      <c r="AB33" s="295">
        <v>5</v>
      </c>
      <c r="AC33" s="330" t="s">
        <v>91</v>
      </c>
      <c r="AD33" s="203">
        <f>SUM(V30:AB33)+Q30</f>
        <v>24.13953488372093</v>
      </c>
    </row>
    <row r="34" spans="1:30" ht="21" customHeight="1" thickTop="1" thickBot="1">
      <c r="A34" s="308"/>
      <c r="B34" s="521">
        <v>42911</v>
      </c>
      <c r="C34" s="544" t="s">
        <v>16</v>
      </c>
      <c r="D34" s="618" t="s">
        <v>102</v>
      </c>
      <c r="E34" s="619"/>
      <c r="F34" s="619"/>
      <c r="G34" s="619"/>
      <c r="H34" s="619"/>
      <c r="I34" s="619"/>
      <c r="J34" s="619"/>
      <c r="K34" s="619"/>
      <c r="L34" s="619"/>
      <c r="M34" s="619"/>
      <c r="N34" s="620"/>
      <c r="O34" s="21"/>
      <c r="P34" s="449">
        <f>G34</f>
        <v>0</v>
      </c>
      <c r="Q34" s="544">
        <f>P34*R6/D6</f>
        <v>0</v>
      </c>
      <c r="R34" s="574">
        <f>Q34/R6</f>
        <v>0</v>
      </c>
      <c r="S34" s="544">
        <f>D5-P34</f>
        <v>10320</v>
      </c>
      <c r="T34" s="565">
        <f>+S34/D5</f>
        <v>1</v>
      </c>
      <c r="U34" s="161"/>
      <c r="V34" s="254"/>
      <c r="W34" s="212"/>
      <c r="X34" s="212"/>
      <c r="Y34" s="212"/>
      <c r="Z34" s="212"/>
      <c r="AA34" s="212"/>
      <c r="AB34" s="196"/>
      <c r="AC34" s="189"/>
      <c r="AD34" s="203"/>
    </row>
    <row r="35" spans="1:30" ht="17.25" customHeight="1" thickTop="1">
      <c r="A35" s="510" t="s">
        <v>28</v>
      </c>
      <c r="B35" s="593"/>
      <c r="C35" s="594"/>
      <c r="D35" s="618"/>
      <c r="E35" s="619"/>
      <c r="F35" s="619"/>
      <c r="G35" s="619"/>
      <c r="H35" s="619"/>
      <c r="I35" s="619"/>
      <c r="J35" s="619"/>
      <c r="K35" s="619"/>
      <c r="L35" s="619"/>
      <c r="M35" s="619"/>
      <c r="N35" s="620"/>
      <c r="O35" s="25"/>
      <c r="P35" s="450"/>
      <c r="Q35" s="590"/>
      <c r="R35" s="573"/>
      <c r="S35" s="590"/>
      <c r="T35" s="591"/>
      <c r="U35" s="49"/>
      <c r="V35" s="232"/>
      <c r="W35" s="327">
        <v>12</v>
      </c>
      <c r="X35" s="327"/>
      <c r="Y35" s="327"/>
      <c r="Z35" s="327"/>
      <c r="AA35" s="327"/>
      <c r="AB35" s="328"/>
      <c r="AC35" s="329" t="s">
        <v>100</v>
      </c>
      <c r="AD35" s="203"/>
    </row>
    <row r="36" spans="1:30" ht="17.25" customHeight="1">
      <c r="A36" s="510"/>
      <c r="B36" s="593"/>
      <c r="C36" s="592" t="s">
        <v>19</v>
      </c>
      <c r="D36" s="606" t="s">
        <v>22</v>
      </c>
      <c r="E36" s="40"/>
      <c r="F36" s="40"/>
      <c r="G36" s="40">
        <v>0</v>
      </c>
      <c r="H36" s="40"/>
      <c r="I36" s="21"/>
      <c r="J36" s="570">
        <f>$F36*J$4</f>
        <v>0</v>
      </c>
      <c r="K36" s="570">
        <f>$F36*K$4</f>
        <v>0</v>
      </c>
      <c r="L36" s="570">
        <f>$F36*L$4</f>
        <v>0</v>
      </c>
      <c r="M36" s="570">
        <f>$F36*M$4</f>
        <v>0</v>
      </c>
      <c r="N36" s="570">
        <f>$F36*N$4</f>
        <v>0</v>
      </c>
      <c r="O36" s="21"/>
      <c r="P36" s="450"/>
      <c r="Q36" s="590"/>
      <c r="R36" s="573"/>
      <c r="S36" s="590"/>
      <c r="T36" s="591"/>
      <c r="U36" s="163"/>
      <c r="V36" s="232"/>
      <c r="W36" s="210"/>
      <c r="X36" s="210"/>
      <c r="Y36" s="210"/>
      <c r="Z36" s="210"/>
      <c r="AA36" s="210"/>
      <c r="AB36" s="194"/>
      <c r="AC36" s="190"/>
      <c r="AD36" s="203"/>
    </row>
    <row r="37" spans="1:30" ht="17.25" customHeight="1" thickBot="1">
      <c r="A37" s="510"/>
      <c r="B37" s="522"/>
      <c r="C37" s="545"/>
      <c r="D37" s="617"/>
      <c r="E37" s="22"/>
      <c r="F37" s="22"/>
      <c r="G37" s="22">
        <v>0</v>
      </c>
      <c r="H37" s="22"/>
      <c r="I37" s="21"/>
      <c r="J37" s="585"/>
      <c r="K37" s="585"/>
      <c r="L37" s="585"/>
      <c r="M37" s="585"/>
      <c r="N37" s="585"/>
      <c r="O37" s="23"/>
      <c r="P37" s="451"/>
      <c r="Q37" s="545"/>
      <c r="R37" s="554"/>
      <c r="S37" s="545"/>
      <c r="T37" s="566"/>
      <c r="U37" s="54"/>
      <c r="V37" s="234"/>
      <c r="W37" s="230"/>
      <c r="X37" s="230"/>
      <c r="Y37" s="213"/>
      <c r="Z37" s="213"/>
      <c r="AA37" s="213"/>
      <c r="AB37" s="280"/>
      <c r="AC37" s="191"/>
      <c r="AD37" s="203">
        <f>SUM(V34:AB37)+Q34</f>
        <v>12</v>
      </c>
    </row>
    <row r="38" spans="1:30" ht="15.75" customHeight="1" thickTop="1">
      <c r="B38" s="516" t="s">
        <v>36</v>
      </c>
      <c r="C38" s="516"/>
      <c r="D38" s="516"/>
      <c r="J38" s="514">
        <f>SUM(J10:J37)</f>
        <v>20848.696000000004</v>
      </c>
      <c r="K38" s="514">
        <f>SUM(K10:K37)</f>
        <v>14471.796</v>
      </c>
      <c r="L38" s="514">
        <f>SUM(L10:L37)</f>
        <v>11785.592000000001</v>
      </c>
      <c r="M38" s="514">
        <f>SUM(M10:M37)</f>
        <v>633.91600000000005</v>
      </c>
      <c r="N38" s="514">
        <f>SUM(N10:N37)</f>
        <v>207.792</v>
      </c>
      <c r="Q38" s="83"/>
      <c r="AC38" s="192"/>
    </row>
    <row r="39" spans="1:30" ht="21" customHeight="1">
      <c r="B39" s="517"/>
      <c r="C39" s="517"/>
      <c r="D39" s="517"/>
      <c r="E39" s="59">
        <f>SUM(E11:E37)</f>
        <v>19660</v>
      </c>
      <c r="F39" s="60">
        <f>SUM(F10:F36)</f>
        <v>28080</v>
      </c>
      <c r="G39" s="61">
        <f t="shared" ref="G39:O39" si="11">SUM(G11:G37)</f>
        <v>0</v>
      </c>
      <c r="H39" s="62">
        <f t="shared" si="11"/>
        <v>0</v>
      </c>
      <c r="I39" s="55"/>
      <c r="J39" s="515"/>
      <c r="K39" s="515"/>
      <c r="L39" s="515"/>
      <c r="M39" s="515"/>
      <c r="N39" s="515"/>
      <c r="O39" s="55">
        <f t="shared" si="11"/>
        <v>0</v>
      </c>
      <c r="Q39" s="80">
        <f t="shared" ref="Q39:U39" si="12">SUM(Q10:Q37)</f>
        <v>111.02325581395348</v>
      </c>
      <c r="R39" s="80"/>
      <c r="S39" s="80"/>
      <c r="T39" s="81" t="s">
        <v>35</v>
      </c>
      <c r="U39" s="80">
        <f t="shared" si="12"/>
        <v>86.744186046511629</v>
      </c>
      <c r="V39" s="80">
        <f>SUM(V10:V37)</f>
        <v>5</v>
      </c>
      <c r="W39" s="80">
        <f t="shared" ref="W39:AD39" si="13">SUM(W10:W37)</f>
        <v>12</v>
      </c>
      <c r="X39" s="80">
        <f t="shared" si="13"/>
        <v>0</v>
      </c>
      <c r="Y39" s="80">
        <f t="shared" si="13"/>
        <v>0</v>
      </c>
      <c r="Z39" s="80">
        <f t="shared" si="13"/>
        <v>0</v>
      </c>
      <c r="AA39" s="80">
        <f t="shared" si="13"/>
        <v>0</v>
      </c>
      <c r="AB39" s="80">
        <f t="shared" si="13"/>
        <v>17</v>
      </c>
      <c r="AC39" s="55" t="s">
        <v>29</v>
      </c>
      <c r="AD39" s="321">
        <f t="shared" si="13"/>
        <v>145.02325581395348</v>
      </c>
    </row>
    <row r="40" spans="1:30" ht="23.25">
      <c r="C40" s="56" t="s">
        <v>30</v>
      </c>
      <c r="D40" s="57"/>
      <c r="E40" s="595">
        <f>E39+F39+G39+H39</f>
        <v>47740</v>
      </c>
      <c r="F40" s="595"/>
      <c r="G40" s="595"/>
      <c r="H40" s="595"/>
      <c r="Q40" s="264"/>
      <c r="R40" s="245">
        <f>AVERAGE(R10:R37)</f>
        <v>0.66085271317829453</v>
      </c>
      <c r="S40" s="262"/>
      <c r="U40" s="78"/>
      <c r="V40" s="78"/>
      <c r="W40" s="78"/>
      <c r="X40" s="173"/>
      <c r="Y40" s="164"/>
      <c r="Z40" s="164"/>
      <c r="AA40" s="164"/>
      <c r="AB40" s="164">
        <f>Q39+V39+W39+X39+Y39+Z39+AA39+AB39</f>
        <v>145.02325581395348</v>
      </c>
      <c r="AC40" s="267"/>
    </row>
    <row r="41" spans="1:30" ht="18.75" customHeight="1">
      <c r="Q41" s="76" t="s">
        <v>34</v>
      </c>
      <c r="S41" s="559">
        <f>P45*P46*P47</f>
        <v>0.76388888888888884</v>
      </c>
      <c r="T41" s="559"/>
    </row>
    <row r="42" spans="1:30" ht="23.25">
      <c r="F42">
        <f>E40/(D5*5.5)</f>
        <v>0.84108527131782951</v>
      </c>
      <c r="R42" s="76" t="s">
        <v>33</v>
      </c>
      <c r="U42" s="75">
        <f>V39/E3</f>
        <v>2.976190476190476E-2</v>
      </c>
      <c r="V42" s="268">
        <f>V39/$E$4</f>
        <v>3.4722222222222224E-2</v>
      </c>
      <c r="W42" s="269">
        <f t="shared" ref="W42:AB42" si="14">W39/$E$4</f>
        <v>8.3333333333333329E-2</v>
      </c>
      <c r="X42" s="269">
        <f t="shared" si="14"/>
        <v>0</v>
      </c>
      <c r="Y42" s="269">
        <f t="shared" si="14"/>
        <v>0</v>
      </c>
      <c r="Z42" s="269">
        <f t="shared" si="14"/>
        <v>0</v>
      </c>
      <c r="AA42" s="270">
        <f t="shared" si="14"/>
        <v>0</v>
      </c>
      <c r="AB42" s="270">
        <f t="shared" si="14"/>
        <v>0.11805555555555555</v>
      </c>
    </row>
    <row r="43" spans="1:30">
      <c r="E43" s="72"/>
      <c r="G43" s="598"/>
      <c r="H43" s="5"/>
    </row>
    <row r="44" spans="1:30">
      <c r="E44" s="72"/>
      <c r="G44" s="598"/>
      <c r="H44" s="5"/>
    </row>
    <row r="45" spans="1:30" ht="15.75">
      <c r="D45" s="72" t="s">
        <v>103</v>
      </c>
      <c r="E45">
        <v>144</v>
      </c>
      <c r="G45" s="180" t="s">
        <v>70</v>
      </c>
      <c r="M45"/>
      <c r="P45" s="176">
        <f>+E46/E45</f>
        <v>0.91666666666666663</v>
      </c>
      <c r="T45" s="596"/>
      <c r="U45" s="596"/>
      <c r="V45" s="596"/>
      <c r="Z45" s="312"/>
    </row>
    <row r="46" spans="1:30" ht="15.75">
      <c r="D46" s="72" t="s">
        <v>69</v>
      </c>
      <c r="E46" s="71">
        <f>E45-W39</f>
        <v>132</v>
      </c>
      <c r="G46" s="180" t="s">
        <v>71</v>
      </c>
      <c r="M46"/>
      <c r="P46" s="176">
        <f>+E47/E46</f>
        <v>0.83333333333333337</v>
      </c>
      <c r="T46" s="597"/>
      <c r="U46" s="597"/>
      <c r="V46" s="597"/>
      <c r="AC46" s="311"/>
    </row>
    <row r="47" spans="1:30" ht="15.75">
      <c r="D47" s="72" t="s">
        <v>68</v>
      </c>
      <c r="E47" s="71">
        <f>+E46-Z39-AA39-V39-Y39-AB39</f>
        <v>110</v>
      </c>
      <c r="G47" s="180" t="s">
        <v>104</v>
      </c>
      <c r="L47"/>
      <c r="M47"/>
      <c r="P47" s="176">
        <f>+E48/E47</f>
        <v>1</v>
      </c>
      <c r="Q47"/>
      <c r="R47"/>
      <c r="S47"/>
      <c r="T47"/>
      <c r="U47"/>
      <c r="V47"/>
      <c r="W47"/>
      <c r="X47"/>
      <c r="Y47"/>
      <c r="Z47"/>
      <c r="AA47"/>
      <c r="AB47"/>
    </row>
    <row r="48" spans="1:30">
      <c r="D48" s="72" t="s">
        <v>72</v>
      </c>
      <c r="E48" s="71">
        <f>E47-X39</f>
        <v>110</v>
      </c>
      <c r="L48" s="69"/>
      <c r="M48" s="177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7:28" ht="15.75">
      <c r="G49" s="180"/>
      <c r="H49" s="67"/>
      <c r="J49"/>
      <c r="K49" s="66"/>
      <c r="L49"/>
      <c r="M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7:28">
      <c r="H50" s="67"/>
      <c r="J50"/>
      <c r="K50" s="66"/>
      <c r="L50"/>
      <c r="M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7:28">
      <c r="H51" s="66"/>
      <c r="J51"/>
      <c r="K51"/>
      <c r="L51"/>
      <c r="M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7:28">
      <c r="J52"/>
      <c r="L52" s="73"/>
      <c r="M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7:28">
      <c r="J53"/>
      <c r="M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7:28">
      <c r="J54"/>
      <c r="L54" s="73"/>
    </row>
    <row r="55" spans="7:28" ht="18">
      <c r="H55" s="58"/>
    </row>
    <row r="56" spans="7:28">
      <c r="L56" s="178"/>
    </row>
    <row r="57" spans="7:28" ht="18">
      <c r="H57" s="58"/>
    </row>
  </sheetData>
  <mergeCells count="194">
    <mergeCell ref="P1:W1"/>
    <mergeCell ref="G3:H3"/>
    <mergeCell ref="G4:H4"/>
    <mergeCell ref="G5:H5"/>
    <mergeCell ref="G6:H6"/>
    <mergeCell ref="B8:B9"/>
    <mergeCell ref="C8:C9"/>
    <mergeCell ref="D8:D9"/>
    <mergeCell ref="E8:H8"/>
    <mergeCell ref="J8:N8"/>
    <mergeCell ref="O8:O9"/>
    <mergeCell ref="R8:R9"/>
    <mergeCell ref="S8:T8"/>
    <mergeCell ref="V8:AA8"/>
    <mergeCell ref="B10:B13"/>
    <mergeCell ref="C10:C11"/>
    <mergeCell ref="F10:F11"/>
    <mergeCell ref="J10:J11"/>
    <mergeCell ref="K10:K11"/>
    <mergeCell ref="S10:S13"/>
    <mergeCell ref="T10:T13"/>
    <mergeCell ref="F12:F13"/>
    <mergeCell ref="A11:A13"/>
    <mergeCell ref="U11:U13"/>
    <mergeCell ref="C12:C13"/>
    <mergeCell ref="D12:D13"/>
    <mergeCell ref="J12:J13"/>
    <mergeCell ref="K12:K13"/>
    <mergeCell ref="L12:L13"/>
    <mergeCell ref="L10:L11"/>
    <mergeCell ref="M10:M11"/>
    <mergeCell ref="N10:N11"/>
    <mergeCell ref="P10:P13"/>
    <mergeCell ref="Q10:Q13"/>
    <mergeCell ref="R10:R13"/>
    <mergeCell ref="M12:M13"/>
    <mergeCell ref="N12:N13"/>
    <mergeCell ref="A14:A17"/>
    <mergeCell ref="B14:B17"/>
    <mergeCell ref="C14:C15"/>
    <mergeCell ref="D14:D15"/>
    <mergeCell ref="I14:I17"/>
    <mergeCell ref="C16:C17"/>
    <mergeCell ref="D16:D17"/>
    <mergeCell ref="F14:F15"/>
    <mergeCell ref="F16:F17"/>
    <mergeCell ref="P14:P17"/>
    <mergeCell ref="Q14:Q17"/>
    <mergeCell ref="R14:R17"/>
    <mergeCell ref="S14:S17"/>
    <mergeCell ref="T14:T17"/>
    <mergeCell ref="U15:U17"/>
    <mergeCell ref="J14:J15"/>
    <mergeCell ref="K14:K15"/>
    <mergeCell ref="L14:L15"/>
    <mergeCell ref="M14:M15"/>
    <mergeCell ref="N14:N15"/>
    <mergeCell ref="O14:O17"/>
    <mergeCell ref="J16:J17"/>
    <mergeCell ref="K16:K17"/>
    <mergeCell ref="L16:L17"/>
    <mergeCell ref="M16:M17"/>
    <mergeCell ref="N16:N17"/>
    <mergeCell ref="A18:A21"/>
    <mergeCell ref="B18:B21"/>
    <mergeCell ref="C18:C19"/>
    <mergeCell ref="D18:D19"/>
    <mergeCell ref="I18:I21"/>
    <mergeCell ref="C20:C21"/>
    <mergeCell ref="D20:D21"/>
    <mergeCell ref="F18:F19"/>
    <mergeCell ref="F20:F21"/>
    <mergeCell ref="P18:P21"/>
    <mergeCell ref="Q18:Q21"/>
    <mergeCell ref="R18:R21"/>
    <mergeCell ref="S18:S21"/>
    <mergeCell ref="T18:T21"/>
    <mergeCell ref="T22:T25"/>
    <mergeCell ref="N20:N21"/>
    <mergeCell ref="U19:U21"/>
    <mergeCell ref="J18:J19"/>
    <mergeCell ref="K18:K19"/>
    <mergeCell ref="L18:L19"/>
    <mergeCell ref="M18:M19"/>
    <mergeCell ref="N18:N19"/>
    <mergeCell ref="O18:O21"/>
    <mergeCell ref="J20:J21"/>
    <mergeCell ref="K20:K21"/>
    <mergeCell ref="L20:L21"/>
    <mergeCell ref="M20:M21"/>
    <mergeCell ref="A23:A25"/>
    <mergeCell ref="U23:U25"/>
    <mergeCell ref="C24:C25"/>
    <mergeCell ref="D24:D25"/>
    <mergeCell ref="N22:N23"/>
    <mergeCell ref="O22:O25"/>
    <mergeCell ref="P22:P25"/>
    <mergeCell ref="Q22:Q25"/>
    <mergeCell ref="R22:R25"/>
    <mergeCell ref="S22:S25"/>
    <mergeCell ref="H22:H23"/>
    <mergeCell ref="I22:I23"/>
    <mergeCell ref="J22:J23"/>
    <mergeCell ref="K22:K23"/>
    <mergeCell ref="L22:L23"/>
    <mergeCell ref="M22:M23"/>
    <mergeCell ref="B22:B25"/>
    <mergeCell ref="C22:C23"/>
    <mergeCell ref="D22:D23"/>
    <mergeCell ref="E22:E23"/>
    <mergeCell ref="F22:F23"/>
    <mergeCell ref="G22:G23"/>
    <mergeCell ref="A27:A29"/>
    <mergeCell ref="H26:H27"/>
    <mergeCell ref="J26:J27"/>
    <mergeCell ref="K26:K27"/>
    <mergeCell ref="L26:L27"/>
    <mergeCell ref="M26:M27"/>
    <mergeCell ref="N26:N27"/>
    <mergeCell ref="B26:B29"/>
    <mergeCell ref="C26:C27"/>
    <mergeCell ref="D26:D27"/>
    <mergeCell ref="E26:E27"/>
    <mergeCell ref="F26:F27"/>
    <mergeCell ref="G26:G27"/>
    <mergeCell ref="E28:E29"/>
    <mergeCell ref="E30:E31"/>
    <mergeCell ref="F30:F31"/>
    <mergeCell ref="G30:G31"/>
    <mergeCell ref="U27:U29"/>
    <mergeCell ref="C28:C29"/>
    <mergeCell ref="D28:D29"/>
    <mergeCell ref="J28:J29"/>
    <mergeCell ref="K28:K29"/>
    <mergeCell ref="L28:L29"/>
    <mergeCell ref="M28:M29"/>
    <mergeCell ref="P26:P29"/>
    <mergeCell ref="Q26:Q29"/>
    <mergeCell ref="R26:R29"/>
    <mergeCell ref="S26:S29"/>
    <mergeCell ref="T26:T29"/>
    <mergeCell ref="T30:T33"/>
    <mergeCell ref="E32:E33"/>
    <mergeCell ref="A31:A33"/>
    <mergeCell ref="U31:U33"/>
    <mergeCell ref="C32:C33"/>
    <mergeCell ref="D32:D33"/>
    <mergeCell ref="J32:J33"/>
    <mergeCell ref="K32:K33"/>
    <mergeCell ref="L32:L33"/>
    <mergeCell ref="M32:M33"/>
    <mergeCell ref="N30:N31"/>
    <mergeCell ref="O30:O31"/>
    <mergeCell ref="P30:P33"/>
    <mergeCell ref="Q30:Q33"/>
    <mergeCell ref="R30:R33"/>
    <mergeCell ref="S30:S33"/>
    <mergeCell ref="N32:N33"/>
    <mergeCell ref="H30:H31"/>
    <mergeCell ref="I30:I31"/>
    <mergeCell ref="J30:J31"/>
    <mergeCell ref="K30:K31"/>
    <mergeCell ref="L30:L31"/>
    <mergeCell ref="M30:M31"/>
    <mergeCell ref="B30:B33"/>
    <mergeCell ref="C30:C31"/>
    <mergeCell ref="D30:D31"/>
    <mergeCell ref="A35:A37"/>
    <mergeCell ref="C36:C37"/>
    <mergeCell ref="D36:D37"/>
    <mergeCell ref="J36:J37"/>
    <mergeCell ref="K36:K37"/>
    <mergeCell ref="B34:B37"/>
    <mergeCell ref="C34:C35"/>
    <mergeCell ref="D34:N35"/>
    <mergeCell ref="E40:H40"/>
    <mergeCell ref="S41:T41"/>
    <mergeCell ref="G43:G44"/>
    <mergeCell ref="T45:V45"/>
    <mergeCell ref="T46:V46"/>
    <mergeCell ref="L36:L37"/>
    <mergeCell ref="M36:M37"/>
    <mergeCell ref="N36:N37"/>
    <mergeCell ref="B38:D39"/>
    <mergeCell ref="J38:J39"/>
    <mergeCell ref="K38:K39"/>
    <mergeCell ref="L38:L39"/>
    <mergeCell ref="M38:M39"/>
    <mergeCell ref="N38:N39"/>
    <mergeCell ref="P34:P37"/>
    <mergeCell ref="Q34:Q37"/>
    <mergeCell ref="R34:R37"/>
    <mergeCell ref="S34:S37"/>
    <mergeCell ref="T34:T37"/>
  </mergeCells>
  <pageMargins left="0.70866141732283472" right="0.70866141732283472" top="0.54" bottom="0.74803149606299213" header="0.31496062992125984" footer="0.31496062992125984"/>
  <pageSetup paperSize="9" scale="55" orientation="landscape" horizontalDpi="0" verticalDpi="0" r:id="rId1"/>
  <ignoredErrors>
    <ignoredError sqref="J28:M29 J32:M3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AF57"/>
  <sheetViews>
    <sheetView showGridLines="0" zoomScale="90" zoomScaleNormal="90" workbookViewId="0">
      <pane ySplit="9" topLeftCell="A34" activePane="bottomLeft" state="frozen"/>
      <selection activeCell="C1" sqref="C1"/>
      <selection pane="bottomLeft" activeCell="AE39" sqref="AE39"/>
    </sheetView>
  </sheetViews>
  <sheetFormatPr baseColWidth="10" defaultRowHeight="15.75"/>
  <cols>
    <col min="1" max="1" width="6" style="382" customWidth="1"/>
    <col min="2" max="2" width="10.28515625" customWidth="1"/>
    <col min="4" max="4" width="13.5703125" customWidth="1"/>
    <col min="5" max="7" width="8.5703125" customWidth="1"/>
    <col min="8" max="8" width="9.5703125" customWidth="1"/>
    <col min="9" max="9" width="1.140625" customWidth="1"/>
    <col min="10" max="13" width="9.28515625" style="5" hidden="1" customWidth="1"/>
    <col min="14" max="14" width="9.28515625" hidden="1" customWidth="1"/>
    <col min="15" max="15" width="1.140625" customWidth="1"/>
    <col min="16" max="16" width="8.85546875" style="3" customWidth="1"/>
    <col min="17" max="17" width="9" style="3" customWidth="1"/>
    <col min="18" max="20" width="9.5703125" style="3" customWidth="1"/>
    <col min="21" max="21" width="9" style="3" hidden="1" customWidth="1"/>
    <col min="22" max="28" width="8.42578125" style="3" customWidth="1"/>
    <col min="29" max="29" width="9.28515625" style="3" customWidth="1"/>
    <col min="30" max="30" width="45.7109375" style="4" customWidth="1"/>
    <col min="31" max="31" width="11.42578125" style="202"/>
  </cols>
  <sheetData>
    <row r="1" spans="1:32" ht="62.25" customHeight="1">
      <c r="Q1" s="628" t="s">
        <v>111</v>
      </c>
      <c r="R1" s="628"/>
      <c r="S1" s="628"/>
      <c r="T1" s="628"/>
      <c r="U1" s="628"/>
      <c r="V1" s="628"/>
      <c r="W1" s="628"/>
      <c r="X1" s="628"/>
      <c r="Y1" s="402"/>
      <c r="Z1" s="402"/>
      <c r="AA1" s="402"/>
      <c r="AB1" s="402"/>
      <c r="AC1" s="402"/>
      <c r="AD1" s="402"/>
      <c r="AE1" s="402"/>
      <c r="AF1" s="402"/>
    </row>
    <row r="2" spans="1:32">
      <c r="I2" s="135"/>
      <c r="J2" s="5" t="str">
        <f>J9</f>
        <v>Résine</v>
      </c>
      <c r="K2" s="5" t="str">
        <f>K9</f>
        <v xml:space="preserve">Charge </v>
      </c>
      <c r="L2" t="str">
        <f>L9</f>
        <v>DOP</v>
      </c>
      <c r="M2" t="str">
        <f>M9</f>
        <v>Stab.</v>
      </c>
      <c r="N2" s="5" t="s">
        <v>14</v>
      </c>
      <c r="O2" s="135"/>
      <c r="Q2" s="134"/>
      <c r="S2" s="128"/>
      <c r="T2" s="128"/>
      <c r="U2" s="134"/>
      <c r="V2" s="134"/>
      <c r="W2" s="134"/>
      <c r="X2" s="134"/>
      <c r="Y2" s="134"/>
      <c r="Z2" s="134"/>
      <c r="AA2" s="134"/>
      <c r="AB2" s="134"/>
      <c r="AC2" s="134"/>
    </row>
    <row r="3" spans="1:32" ht="15.75" customHeight="1">
      <c r="B3" t="s">
        <v>67</v>
      </c>
      <c r="D3" s="170" t="s">
        <v>64</v>
      </c>
      <c r="E3" s="171">
        <v>168</v>
      </c>
      <c r="F3" t="s">
        <v>66</v>
      </c>
      <c r="G3" s="537" t="str">
        <f>E9</f>
        <v>PVC Isolat°</v>
      </c>
      <c r="H3" s="537"/>
      <c r="I3" s="1"/>
      <c r="J3" s="385">
        <v>0.46</v>
      </c>
      <c r="K3" s="2">
        <v>0.30620000000000003</v>
      </c>
      <c r="L3" s="2">
        <v>0.22</v>
      </c>
      <c r="M3" s="2">
        <v>1.38E-2</v>
      </c>
      <c r="N3" s="6"/>
      <c r="O3" s="11"/>
      <c r="P3" s="391"/>
      <c r="Q3" s="391"/>
      <c r="R3" s="7"/>
      <c r="S3" s="128"/>
      <c r="T3" s="128"/>
      <c r="U3" s="132"/>
      <c r="V3" s="132"/>
      <c r="W3" s="132"/>
      <c r="X3" s="132"/>
      <c r="Y3" s="132"/>
      <c r="Z3" s="132"/>
      <c r="AA3" s="132"/>
      <c r="AB3" s="132"/>
      <c r="AC3" s="132"/>
    </row>
    <row r="4" spans="1:32" ht="15.75" customHeight="1">
      <c r="B4" t="s">
        <v>63</v>
      </c>
      <c r="D4" s="170" t="s">
        <v>93</v>
      </c>
      <c r="E4">
        <v>144</v>
      </c>
      <c r="F4" t="s">
        <v>66</v>
      </c>
      <c r="G4" s="538" t="str">
        <f>F9</f>
        <v>PVC Gris</v>
      </c>
      <c r="H4" s="538"/>
      <c r="I4" s="8"/>
      <c r="J4" s="387">
        <v>0.45</v>
      </c>
      <c r="K4" s="386">
        <v>0.26829999999999998</v>
      </c>
      <c r="L4" s="386">
        <v>0.26790000000000003</v>
      </c>
      <c r="M4" s="386">
        <v>1.38E-2</v>
      </c>
      <c r="N4" s="8">
        <v>7.4000000000000003E-3</v>
      </c>
      <c r="O4" s="130"/>
      <c r="P4" s="391"/>
      <c r="Q4" s="391"/>
      <c r="R4" s="128"/>
    </row>
    <row r="5" spans="1:32" ht="15.75" customHeight="1">
      <c r="B5" t="s">
        <v>62</v>
      </c>
      <c r="D5" s="172">
        <v>10320</v>
      </c>
      <c r="E5" t="s">
        <v>61</v>
      </c>
      <c r="G5" s="539" t="str">
        <f>G9</f>
        <v>PVC Gainage</v>
      </c>
      <c r="H5" s="539"/>
      <c r="I5" s="9"/>
      <c r="J5" s="389">
        <v>0.45</v>
      </c>
      <c r="K5" s="388">
        <v>0.26829999999999998</v>
      </c>
      <c r="L5" s="388">
        <v>0.26790000000000003</v>
      </c>
      <c r="M5" s="388">
        <v>1.38E-2</v>
      </c>
      <c r="N5" s="6"/>
      <c r="O5" s="11"/>
      <c r="P5" s="391"/>
      <c r="Q5" s="391"/>
      <c r="R5" s="128"/>
      <c r="X5" s="127"/>
    </row>
    <row r="6" spans="1:32" ht="15.75" customHeight="1">
      <c r="D6">
        <f>D5/2</f>
        <v>5160</v>
      </c>
      <c r="E6" t="s">
        <v>83</v>
      </c>
      <c r="G6" s="540" t="str">
        <f>H9</f>
        <v>PVC Bourrage</v>
      </c>
      <c r="H6" s="540"/>
      <c r="I6" s="10"/>
      <c r="J6" s="390">
        <v>0.35320000000000001</v>
      </c>
      <c r="K6" s="390">
        <v>0.42420000000000002</v>
      </c>
      <c r="L6" s="390">
        <v>0.21199999999999999</v>
      </c>
      <c r="M6" s="390">
        <v>1.06E-2</v>
      </c>
      <c r="N6" s="6"/>
      <c r="O6" s="11"/>
      <c r="P6" s="391"/>
      <c r="Q6" s="391"/>
      <c r="R6" s="3">
        <v>12</v>
      </c>
      <c r="T6" s="7"/>
      <c r="U6" s="125"/>
      <c r="V6" s="125"/>
      <c r="W6" s="125"/>
      <c r="X6" s="125"/>
      <c r="Y6" s="125"/>
      <c r="Z6" s="125"/>
      <c r="AA6" s="125"/>
      <c r="AB6" s="125"/>
      <c r="AC6" s="125"/>
    </row>
    <row r="7" spans="1:32" s="11" customFormat="1">
      <c r="A7" s="383"/>
      <c r="H7" s="12"/>
      <c r="Q7" s="125"/>
      <c r="R7" s="124">
        <v>24</v>
      </c>
      <c r="T7" s="3"/>
      <c r="U7" s="13"/>
      <c r="V7" s="13"/>
      <c r="W7" s="13"/>
      <c r="X7" s="13"/>
      <c r="Y7" s="13"/>
      <c r="Z7" s="13"/>
      <c r="AA7" s="13"/>
      <c r="AB7" s="13"/>
      <c r="AC7" s="13"/>
      <c r="AD7" s="14"/>
      <c r="AE7" s="12"/>
    </row>
    <row r="8" spans="1:32" ht="18.75" customHeight="1">
      <c r="B8" s="505" t="s">
        <v>0</v>
      </c>
      <c r="C8" s="505" t="s">
        <v>1</v>
      </c>
      <c r="D8" s="505" t="s">
        <v>2</v>
      </c>
      <c r="E8" s="509" t="s">
        <v>3</v>
      </c>
      <c r="F8" s="509"/>
      <c r="G8" s="509"/>
      <c r="H8" s="546"/>
      <c r="I8" s="506"/>
      <c r="J8" s="508" t="s">
        <v>4</v>
      </c>
      <c r="K8" s="509"/>
      <c r="L8" s="509"/>
      <c r="M8" s="509"/>
      <c r="N8" s="509"/>
      <c r="O8" s="506"/>
      <c r="P8" s="123" t="s">
        <v>49</v>
      </c>
      <c r="Q8" s="122" t="s">
        <v>48</v>
      </c>
      <c r="R8" s="541" t="s">
        <v>47</v>
      </c>
      <c r="S8" s="568" t="s">
        <v>46</v>
      </c>
      <c r="T8" s="568"/>
      <c r="V8" s="550" t="s">
        <v>33</v>
      </c>
      <c r="W8" s="551"/>
      <c r="X8" s="551"/>
      <c r="Y8" s="551"/>
      <c r="Z8" s="551"/>
      <c r="AA8" s="551"/>
      <c r="AB8" s="552"/>
      <c r="AC8" s="336"/>
      <c r="AD8" s="121"/>
    </row>
    <row r="9" spans="1:32" ht="35.25" customHeight="1">
      <c r="B9" s="505"/>
      <c r="C9" s="505"/>
      <c r="D9" s="505"/>
      <c r="E9" s="120" t="s">
        <v>6</v>
      </c>
      <c r="F9" s="119" t="s">
        <v>7</v>
      </c>
      <c r="G9" s="118" t="s">
        <v>8</v>
      </c>
      <c r="H9" s="117" t="s">
        <v>9</v>
      </c>
      <c r="I9" s="507"/>
      <c r="J9" s="17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507"/>
      <c r="P9" s="116" t="s">
        <v>45</v>
      </c>
      <c r="Q9" s="116" t="s">
        <v>44</v>
      </c>
      <c r="R9" s="542"/>
      <c r="S9" s="115" t="s">
        <v>43</v>
      </c>
      <c r="T9" s="114" t="s">
        <v>42</v>
      </c>
      <c r="U9" s="64"/>
      <c r="V9" s="204" t="s">
        <v>41</v>
      </c>
      <c r="W9" s="205" t="s">
        <v>40</v>
      </c>
      <c r="X9" s="206" t="s">
        <v>39</v>
      </c>
      <c r="Y9" s="207" t="s">
        <v>75</v>
      </c>
      <c r="Z9" s="208" t="s">
        <v>76</v>
      </c>
      <c r="AA9" s="291" t="s">
        <v>77</v>
      </c>
      <c r="AB9" s="292" t="s">
        <v>88</v>
      </c>
      <c r="AC9" s="351" t="s">
        <v>105</v>
      </c>
      <c r="AD9" s="136" t="s">
        <v>5</v>
      </c>
    </row>
    <row r="10" spans="1:32" ht="17.25" customHeight="1">
      <c r="A10" s="646" t="s">
        <v>15</v>
      </c>
      <c r="B10" s="560">
        <v>42912</v>
      </c>
      <c r="C10" s="495" t="s">
        <v>16</v>
      </c>
      <c r="D10" s="642" t="s">
        <v>112</v>
      </c>
      <c r="E10" s="643"/>
      <c r="F10" s="643"/>
      <c r="G10" s="643"/>
      <c r="H10" s="643"/>
      <c r="I10" s="21"/>
      <c r="J10" s="403"/>
      <c r="K10" s="403"/>
      <c r="L10" s="403"/>
      <c r="M10" s="403"/>
      <c r="N10" s="403"/>
      <c r="O10" s="21"/>
      <c r="P10" s="495">
        <f>E12</f>
        <v>0</v>
      </c>
      <c r="Q10" s="562">
        <f>P10*R7/D5</f>
        <v>0</v>
      </c>
      <c r="R10" s="563">
        <f>+Q10/R7</f>
        <v>0</v>
      </c>
      <c r="S10" s="495">
        <f>D5-P10</f>
        <v>10320</v>
      </c>
      <c r="T10" s="567">
        <f>S10/D5</f>
        <v>1</v>
      </c>
      <c r="U10" s="113"/>
      <c r="V10" s="232"/>
      <c r="W10" s="210"/>
      <c r="X10" s="210"/>
      <c r="Y10" s="210"/>
      <c r="Z10" s="210"/>
      <c r="AA10" s="210"/>
      <c r="AB10" s="210"/>
      <c r="AC10" s="194"/>
      <c r="AD10" s="346"/>
    </row>
    <row r="11" spans="1:32" ht="17.25" customHeight="1">
      <c r="A11" s="646"/>
      <c r="B11" s="512"/>
      <c r="C11" s="467"/>
      <c r="D11" s="642"/>
      <c r="E11" s="643"/>
      <c r="F11" s="643"/>
      <c r="G11" s="643"/>
      <c r="H11" s="643"/>
      <c r="I11" s="21"/>
      <c r="J11" s="404"/>
      <c r="K11" s="404"/>
      <c r="L11" s="404"/>
      <c r="M11" s="404"/>
      <c r="N11" s="404"/>
      <c r="O11" s="21"/>
      <c r="P11" s="450"/>
      <c r="Q11" s="453"/>
      <c r="R11" s="456"/>
      <c r="S11" s="450"/>
      <c r="T11" s="477"/>
      <c r="U11" s="564">
        <f>Q10+Y13</f>
        <v>0</v>
      </c>
      <c r="V11" s="232"/>
      <c r="W11" s="327">
        <v>12</v>
      </c>
      <c r="X11" s="327"/>
      <c r="Y11" s="327"/>
      <c r="Z11" s="327"/>
      <c r="AA11" s="327"/>
      <c r="AB11" s="327"/>
      <c r="AC11" s="328"/>
      <c r="AD11" s="345" t="s">
        <v>102</v>
      </c>
    </row>
    <row r="12" spans="1:32" ht="17.25" customHeight="1">
      <c r="A12" s="646"/>
      <c r="B12" s="512"/>
      <c r="C12" s="495" t="s">
        <v>19</v>
      </c>
      <c r="D12" s="642"/>
      <c r="E12" s="643"/>
      <c r="F12" s="643"/>
      <c r="G12" s="643"/>
      <c r="H12" s="643"/>
      <c r="I12" s="21"/>
      <c r="J12" s="405"/>
      <c r="K12" s="405"/>
      <c r="L12" s="405"/>
      <c r="M12" s="405"/>
      <c r="N12" s="406"/>
      <c r="O12" s="21"/>
      <c r="P12" s="450"/>
      <c r="Q12" s="453"/>
      <c r="R12" s="456"/>
      <c r="S12" s="450"/>
      <c r="T12" s="477"/>
      <c r="U12" s="480"/>
      <c r="V12" s="232"/>
      <c r="W12" s="210"/>
      <c r="X12" s="210"/>
      <c r="Y12" s="248"/>
      <c r="Z12" s="210"/>
      <c r="AA12" s="210"/>
      <c r="AB12" s="210"/>
      <c r="AC12" s="194"/>
      <c r="AD12" s="282"/>
    </row>
    <row r="13" spans="1:32" ht="17.25" customHeight="1" thickBot="1">
      <c r="A13" s="646"/>
      <c r="B13" s="513"/>
      <c r="C13" s="451"/>
      <c r="D13" s="644"/>
      <c r="E13" s="645"/>
      <c r="F13" s="645"/>
      <c r="G13" s="645"/>
      <c r="H13" s="645"/>
      <c r="I13" s="21"/>
      <c r="J13" s="407"/>
      <c r="K13" s="407"/>
      <c r="L13" s="407"/>
      <c r="M13" s="407"/>
      <c r="N13" s="408"/>
      <c r="O13" s="23"/>
      <c r="P13" s="451"/>
      <c r="Q13" s="454"/>
      <c r="R13" s="457"/>
      <c r="S13" s="451"/>
      <c r="T13" s="478"/>
      <c r="U13" s="481"/>
      <c r="V13" s="234"/>
      <c r="W13" s="230"/>
      <c r="X13" s="230"/>
      <c r="Y13" s="230"/>
      <c r="Z13" s="230"/>
      <c r="AA13" s="230"/>
      <c r="AB13" s="230"/>
      <c r="AC13" s="350"/>
      <c r="AD13" s="286"/>
      <c r="AE13" s="203">
        <f>SUM(V10:AB13)+Q10</f>
        <v>12</v>
      </c>
      <c r="AF13" s="71"/>
    </row>
    <row r="14" spans="1:32" ht="18.75" customHeight="1" thickTop="1">
      <c r="A14" s="646" t="s">
        <v>21</v>
      </c>
      <c r="B14" s="511">
        <v>42913</v>
      </c>
      <c r="C14" s="449" t="s">
        <v>16</v>
      </c>
      <c r="D14" s="642" t="s">
        <v>112</v>
      </c>
      <c r="E14" s="643"/>
      <c r="F14" s="643"/>
      <c r="G14" s="643"/>
      <c r="H14" s="643"/>
      <c r="I14" s="21"/>
      <c r="J14" s="403"/>
      <c r="K14" s="403"/>
      <c r="L14" s="403"/>
      <c r="M14" s="403"/>
      <c r="N14" s="403"/>
      <c r="O14" s="21"/>
      <c r="P14" s="449">
        <f>E14+E16</f>
        <v>0</v>
      </c>
      <c r="Q14" s="502">
        <f>P14*R7/D5</f>
        <v>0</v>
      </c>
      <c r="R14" s="455">
        <f>Q14/R7</f>
        <v>0</v>
      </c>
      <c r="S14" s="449">
        <f>+D5-P14</f>
        <v>10320</v>
      </c>
      <c r="T14" s="476">
        <f>S14/D5</f>
        <v>1</v>
      </c>
      <c r="U14" s="333"/>
      <c r="V14" s="232"/>
      <c r="W14" s="210"/>
      <c r="X14" s="210"/>
      <c r="Y14" s="210"/>
      <c r="Z14" s="210"/>
      <c r="AA14" s="210"/>
      <c r="AB14" s="210"/>
      <c r="AC14" s="194"/>
      <c r="AD14" s="189"/>
      <c r="AE14" s="203"/>
      <c r="AF14" s="71"/>
    </row>
    <row r="15" spans="1:32" ht="18.75" customHeight="1">
      <c r="A15" s="646"/>
      <c r="B15" s="512"/>
      <c r="C15" s="467"/>
      <c r="D15" s="642"/>
      <c r="E15" s="643"/>
      <c r="F15" s="643"/>
      <c r="G15" s="643"/>
      <c r="H15" s="643"/>
      <c r="I15" s="21"/>
      <c r="J15" s="404"/>
      <c r="K15" s="404"/>
      <c r="L15" s="404"/>
      <c r="M15" s="404"/>
      <c r="N15" s="404"/>
      <c r="O15" s="21"/>
      <c r="P15" s="450"/>
      <c r="Q15" s="503"/>
      <c r="R15" s="456"/>
      <c r="S15" s="450"/>
      <c r="T15" s="477"/>
      <c r="U15" s="564">
        <f>Q14+Y15+Y17</f>
        <v>0</v>
      </c>
      <c r="V15" s="232"/>
      <c r="W15" s="327">
        <v>24</v>
      </c>
      <c r="X15" s="327"/>
      <c r="Y15" s="327"/>
      <c r="Z15" s="327"/>
      <c r="AA15" s="327"/>
      <c r="AB15" s="327"/>
      <c r="AC15" s="328"/>
      <c r="AD15" s="345" t="s">
        <v>102</v>
      </c>
      <c r="AE15" s="203"/>
      <c r="AF15" s="71"/>
    </row>
    <row r="16" spans="1:32" ht="18.75" customHeight="1">
      <c r="A16" s="646"/>
      <c r="B16" s="512"/>
      <c r="C16" s="495" t="s">
        <v>19</v>
      </c>
      <c r="D16" s="642"/>
      <c r="E16" s="643"/>
      <c r="F16" s="643"/>
      <c r="G16" s="643"/>
      <c r="H16" s="643"/>
      <c r="I16" s="21"/>
      <c r="J16" s="405"/>
      <c r="K16" s="405"/>
      <c r="L16" s="405"/>
      <c r="M16" s="405"/>
      <c r="N16" s="406"/>
      <c r="O16" s="21"/>
      <c r="P16" s="450"/>
      <c r="Q16" s="503"/>
      <c r="R16" s="456"/>
      <c r="S16" s="450"/>
      <c r="T16" s="477"/>
      <c r="U16" s="480"/>
      <c r="V16" s="232"/>
      <c r="W16" s="210"/>
      <c r="X16" s="210"/>
      <c r="Y16" s="248"/>
      <c r="Z16" s="210"/>
      <c r="AA16" s="210"/>
      <c r="AB16" s="210"/>
      <c r="AC16" s="194"/>
      <c r="AD16" s="190"/>
      <c r="AE16" s="203"/>
      <c r="AF16" s="71"/>
    </row>
    <row r="17" spans="1:32" ht="18.75" customHeight="1" thickBot="1">
      <c r="A17" s="646"/>
      <c r="B17" s="513"/>
      <c r="C17" s="451"/>
      <c r="D17" s="644"/>
      <c r="E17" s="645"/>
      <c r="F17" s="645"/>
      <c r="G17" s="645"/>
      <c r="H17" s="645"/>
      <c r="I17" s="21"/>
      <c r="J17" s="407"/>
      <c r="K17" s="407"/>
      <c r="L17" s="407"/>
      <c r="M17" s="407"/>
      <c r="N17" s="408"/>
      <c r="O17" s="23"/>
      <c r="P17" s="451"/>
      <c r="Q17" s="504"/>
      <c r="R17" s="457"/>
      <c r="S17" s="451"/>
      <c r="T17" s="478"/>
      <c r="U17" s="481"/>
      <c r="V17" s="234"/>
      <c r="W17" s="230"/>
      <c r="X17" s="230"/>
      <c r="Y17" s="230"/>
      <c r="Z17" s="230"/>
      <c r="AA17" s="230"/>
      <c r="AB17" s="230"/>
      <c r="AC17" s="350"/>
      <c r="AD17" s="281"/>
      <c r="AE17" s="203">
        <f>SUM(V14:AA17)+Q14</f>
        <v>24</v>
      </c>
      <c r="AF17" s="71"/>
    </row>
    <row r="18" spans="1:32" ht="16.5" customHeight="1" thickTop="1" thickBot="1">
      <c r="A18" s="646" t="s">
        <v>23</v>
      </c>
      <c r="B18" s="511">
        <v>42914</v>
      </c>
      <c r="C18" s="449" t="s">
        <v>16</v>
      </c>
      <c r="D18" s="137"/>
      <c r="E18" s="394"/>
      <c r="F18" s="380"/>
      <c r="G18" s="394"/>
      <c r="H18" s="394"/>
      <c r="I18" s="137"/>
      <c r="J18" s="394"/>
      <c r="K18" s="380"/>
      <c r="L18" s="394"/>
      <c r="M18" s="394"/>
      <c r="N18" s="137"/>
      <c r="O18" s="491"/>
      <c r="P18" s="449">
        <f>E18+G20+H21</f>
        <v>1320</v>
      </c>
      <c r="Q18" s="479">
        <f>P18*R7/D5</f>
        <v>3.0697674418604652</v>
      </c>
      <c r="R18" s="455">
        <f>Q18/R7</f>
        <v>0.12790697674418605</v>
      </c>
      <c r="S18" s="449">
        <f>+D5-P18</f>
        <v>9000</v>
      </c>
      <c r="T18" s="476">
        <f>S18/D5</f>
        <v>0.87209302325581395</v>
      </c>
      <c r="U18" s="333"/>
      <c r="V18" s="344">
        <v>2</v>
      </c>
      <c r="W18" s="237"/>
      <c r="X18" s="237"/>
      <c r="Y18" s="237"/>
      <c r="Z18" s="237"/>
      <c r="AA18" s="237"/>
      <c r="AB18" s="237"/>
      <c r="AC18" s="238"/>
      <c r="AD18" s="111" t="s">
        <v>73</v>
      </c>
      <c r="AE18" s="203"/>
      <c r="AF18" s="71"/>
    </row>
    <row r="19" spans="1:32" ht="16.5" customHeight="1" thickTop="1">
      <c r="A19" s="646"/>
      <c r="B19" s="512"/>
      <c r="C19" s="467"/>
      <c r="D19" s="137"/>
      <c r="E19" s="394"/>
      <c r="F19" s="381"/>
      <c r="G19" s="394"/>
      <c r="H19" s="394"/>
      <c r="I19" s="137"/>
      <c r="J19" s="394"/>
      <c r="K19" s="381"/>
      <c r="L19" s="394"/>
      <c r="M19" s="394"/>
      <c r="N19" s="137"/>
      <c r="O19" s="448"/>
      <c r="P19" s="450"/>
      <c r="Q19" s="480"/>
      <c r="R19" s="456"/>
      <c r="S19" s="450"/>
      <c r="T19" s="477"/>
      <c r="U19" s="547"/>
      <c r="V19" s="232"/>
      <c r="W19" s="327">
        <v>12</v>
      </c>
      <c r="X19" s="327"/>
      <c r="Y19" s="327"/>
      <c r="Z19" s="327"/>
      <c r="AA19" s="327"/>
      <c r="AB19" s="327"/>
      <c r="AC19" s="328"/>
      <c r="AD19" s="345" t="s">
        <v>102</v>
      </c>
      <c r="AE19" s="203"/>
      <c r="AF19" s="71"/>
    </row>
    <row r="20" spans="1:32" ht="21.75" customHeight="1">
      <c r="A20" s="646"/>
      <c r="B20" s="512"/>
      <c r="C20" s="495" t="s">
        <v>19</v>
      </c>
      <c r="D20" s="493" t="s">
        <v>17</v>
      </c>
      <c r="E20" s="339"/>
      <c r="F20" s="339"/>
      <c r="G20" s="583">
        <f>11*120</f>
        <v>1320</v>
      </c>
      <c r="H20" s="339"/>
      <c r="I20" s="392"/>
      <c r="J20" s="584">
        <f>$G20*J$5</f>
        <v>594</v>
      </c>
      <c r="K20" s="584">
        <f>$G20*K$5</f>
        <v>354.15599999999995</v>
      </c>
      <c r="L20" s="584">
        <f>$G20*L$5</f>
        <v>353.62800000000004</v>
      </c>
      <c r="M20" s="584">
        <f>$G20*M$5</f>
        <v>18.216000000000001</v>
      </c>
      <c r="N20" s="604"/>
      <c r="O20" s="448"/>
      <c r="P20" s="450"/>
      <c r="Q20" s="480"/>
      <c r="R20" s="456"/>
      <c r="S20" s="450"/>
      <c r="T20" s="477"/>
      <c r="U20" s="548"/>
      <c r="V20" s="232"/>
      <c r="W20" s="210"/>
      <c r="X20" s="210"/>
      <c r="Y20" s="210"/>
      <c r="Z20" s="210"/>
      <c r="AA20" s="210"/>
      <c r="AB20" s="349">
        <v>7</v>
      </c>
      <c r="AC20" s="314"/>
      <c r="AD20" s="330" t="s">
        <v>91</v>
      </c>
      <c r="AE20" s="203"/>
      <c r="AF20" s="71"/>
    </row>
    <row r="21" spans="1:32" ht="21.75" customHeight="1" thickBot="1">
      <c r="A21" s="646"/>
      <c r="B21" s="513"/>
      <c r="C21" s="451"/>
      <c r="D21" s="494"/>
      <c r="E21" s="22"/>
      <c r="F21" s="22"/>
      <c r="G21" s="600"/>
      <c r="H21" s="22"/>
      <c r="I21" s="393"/>
      <c r="J21" s="629"/>
      <c r="K21" s="629">
        <f>$H21*K$6</f>
        <v>0</v>
      </c>
      <c r="L21" s="629">
        <f>$H21*L$6</f>
        <v>0</v>
      </c>
      <c r="M21" s="629">
        <f>$H21*M$6</f>
        <v>0</v>
      </c>
      <c r="N21" s="641"/>
      <c r="O21" s="492"/>
      <c r="P21" s="451"/>
      <c r="Q21" s="481"/>
      <c r="R21" s="457"/>
      <c r="S21" s="451"/>
      <c r="T21" s="478"/>
      <c r="U21" s="549"/>
      <c r="V21" s="234"/>
      <c r="W21" s="230"/>
      <c r="X21" s="230"/>
      <c r="Y21" s="213"/>
      <c r="Z21" s="213"/>
      <c r="AA21" s="213"/>
      <c r="AB21" s="230"/>
      <c r="AC21" s="235"/>
      <c r="AD21" s="191"/>
      <c r="AE21" s="203">
        <f>+SUM(V18:AB21)+Q18</f>
        <v>24.069767441860463</v>
      </c>
      <c r="AF21" s="71"/>
    </row>
    <row r="22" spans="1:32" ht="15" customHeight="1" thickTop="1" thickBot="1">
      <c r="A22" s="646" t="s">
        <v>24</v>
      </c>
      <c r="B22" s="511">
        <v>42915</v>
      </c>
      <c r="C22" s="449" t="s">
        <v>16</v>
      </c>
      <c r="D22" s="525" t="s">
        <v>22</v>
      </c>
      <c r="E22" s="531"/>
      <c r="F22" s="531"/>
      <c r="G22" s="630">
        <v>0</v>
      </c>
      <c r="H22" s="470"/>
      <c r="I22" s="491"/>
      <c r="J22" s="581">
        <f>$G22*J5</f>
        <v>0</v>
      </c>
      <c r="K22" s="581">
        <f t="shared" ref="K22:M22" si="0">$G22*K5</f>
        <v>0</v>
      </c>
      <c r="L22" s="581">
        <f t="shared" si="0"/>
        <v>0</v>
      </c>
      <c r="M22" s="581">
        <f t="shared" si="0"/>
        <v>0</v>
      </c>
      <c r="N22" s="576"/>
      <c r="O22" s="491"/>
      <c r="P22" s="449">
        <f>SUM(E22:H25)</f>
        <v>2040</v>
      </c>
      <c r="Q22" s="482">
        <f>P22*R7/D5</f>
        <v>4.7441860465116283</v>
      </c>
      <c r="R22" s="455">
        <f>Q22/R7</f>
        <v>0.19767441860465118</v>
      </c>
      <c r="S22" s="449">
        <f>D5-P22</f>
        <v>8280</v>
      </c>
      <c r="T22" s="485">
        <f>S22/D5</f>
        <v>0.80232558139534882</v>
      </c>
      <c r="U22" s="335"/>
      <c r="V22" s="254">
        <v>4</v>
      </c>
      <c r="W22" s="212"/>
      <c r="X22" s="212"/>
      <c r="Y22" s="212"/>
      <c r="Z22" s="212"/>
      <c r="AA22" s="212"/>
      <c r="AB22" s="212"/>
      <c r="AC22" s="196"/>
      <c r="AD22" s="189" t="s">
        <v>106</v>
      </c>
      <c r="AE22" s="203"/>
      <c r="AF22" s="71"/>
    </row>
    <row r="23" spans="1:32" ht="15" customHeight="1" thickTop="1">
      <c r="A23" s="646"/>
      <c r="B23" s="498"/>
      <c r="C23" s="467"/>
      <c r="D23" s="526"/>
      <c r="E23" s="532"/>
      <c r="F23" s="532"/>
      <c r="G23" s="631"/>
      <c r="H23" s="471"/>
      <c r="I23" s="448"/>
      <c r="J23" s="582"/>
      <c r="K23" s="582"/>
      <c r="L23" s="582"/>
      <c r="M23" s="582"/>
      <c r="N23" s="585"/>
      <c r="O23" s="448"/>
      <c r="P23" s="450"/>
      <c r="Q23" s="483"/>
      <c r="R23" s="456"/>
      <c r="S23" s="450"/>
      <c r="T23" s="486"/>
      <c r="U23" s="482">
        <f>Q22+Y23+Y25</f>
        <v>4.7441860465116283</v>
      </c>
      <c r="V23" s="232"/>
      <c r="W23" s="210"/>
      <c r="X23" s="210"/>
      <c r="Y23" s="210"/>
      <c r="Z23" s="210"/>
      <c r="AA23" s="210"/>
      <c r="AB23" s="210"/>
      <c r="AC23" s="194"/>
      <c r="AD23" s="190"/>
      <c r="AE23" s="203"/>
      <c r="AF23" s="71"/>
    </row>
    <row r="24" spans="1:32" ht="22.5" customHeight="1">
      <c r="A24" s="646"/>
      <c r="B24" s="498"/>
      <c r="C24" s="495" t="s">
        <v>19</v>
      </c>
      <c r="D24" s="493" t="s">
        <v>17</v>
      </c>
      <c r="E24" s="40"/>
      <c r="F24" s="40"/>
      <c r="G24" s="583">
        <f>17*120</f>
        <v>2040</v>
      </c>
      <c r="H24" s="27"/>
      <c r="I24" s="448"/>
      <c r="J24" s="584">
        <f>$G24*J$5</f>
        <v>918</v>
      </c>
      <c r="K24" s="584">
        <f>$G24*K$5</f>
        <v>547.33199999999999</v>
      </c>
      <c r="L24" s="584">
        <f>$G24*L$5</f>
        <v>546.51600000000008</v>
      </c>
      <c r="M24" s="584">
        <f>$G24*M$5</f>
        <v>28.152000000000001</v>
      </c>
      <c r="N24" s="604"/>
      <c r="O24" s="448"/>
      <c r="P24" s="450"/>
      <c r="Q24" s="483"/>
      <c r="R24" s="456"/>
      <c r="S24" s="450"/>
      <c r="T24" s="486"/>
      <c r="U24" s="483"/>
      <c r="V24" s="232"/>
      <c r="W24" s="210"/>
      <c r="X24" s="210"/>
      <c r="Y24" s="210"/>
      <c r="Z24" s="210"/>
      <c r="AA24" s="210"/>
      <c r="AB24" s="349">
        <v>3.25</v>
      </c>
      <c r="AC24" s="314"/>
      <c r="AD24" s="330" t="s">
        <v>91</v>
      </c>
      <c r="AE24" s="203"/>
      <c r="AF24" s="71"/>
    </row>
    <row r="25" spans="1:32" ht="22.5" customHeight="1" thickBot="1">
      <c r="A25" s="646"/>
      <c r="B25" s="498"/>
      <c r="C25" s="498"/>
      <c r="D25" s="494"/>
      <c r="E25" s="22"/>
      <c r="F25" s="22"/>
      <c r="G25" s="600"/>
      <c r="H25" s="22"/>
      <c r="I25" s="492"/>
      <c r="J25" s="629"/>
      <c r="K25" s="629">
        <f>$H25*K$6</f>
        <v>0</v>
      </c>
      <c r="L25" s="629">
        <f>$H25*L$6</f>
        <v>0</v>
      </c>
      <c r="M25" s="629">
        <f>$H25*M$6</f>
        <v>0</v>
      </c>
      <c r="N25" s="641"/>
      <c r="O25" s="492"/>
      <c r="P25" s="450"/>
      <c r="Q25" s="483"/>
      <c r="R25" s="456"/>
      <c r="S25" s="450"/>
      <c r="T25" s="486"/>
      <c r="U25" s="483"/>
      <c r="V25" s="234"/>
      <c r="W25" s="230"/>
      <c r="X25" s="230"/>
      <c r="Y25" s="213"/>
      <c r="Z25" s="213"/>
      <c r="AA25" s="213"/>
      <c r="AB25" s="230"/>
      <c r="AC25" s="352">
        <v>12</v>
      </c>
      <c r="AD25" s="353" t="s">
        <v>107</v>
      </c>
      <c r="AE25" s="326">
        <f>SUM(V22:AC25)+Q22</f>
        <v>23.994186046511629</v>
      </c>
      <c r="AF25" s="71"/>
    </row>
    <row r="26" spans="1:32" ht="19.5" customHeight="1" thickTop="1" thickBot="1">
      <c r="A26" s="646" t="s">
        <v>25</v>
      </c>
      <c r="B26" s="511">
        <v>42916</v>
      </c>
      <c r="C26" s="449" t="s">
        <v>16</v>
      </c>
      <c r="D26" s="525" t="s">
        <v>22</v>
      </c>
      <c r="E26" s="531"/>
      <c r="F26" s="531"/>
      <c r="G26" s="630">
        <f>44*120</f>
        <v>5280</v>
      </c>
      <c r="H26" s="531"/>
      <c r="I26" s="21"/>
      <c r="J26" s="581">
        <f>$G26*J5</f>
        <v>2376</v>
      </c>
      <c r="K26" s="581">
        <f t="shared" ref="K26:M26" si="1">$G26*K5</f>
        <v>1416.6239999999998</v>
      </c>
      <c r="L26" s="581">
        <f t="shared" si="1"/>
        <v>1414.5120000000002</v>
      </c>
      <c r="M26" s="581">
        <f t="shared" si="1"/>
        <v>72.864000000000004</v>
      </c>
      <c r="N26" s="576"/>
      <c r="O26" s="21"/>
      <c r="P26" s="449">
        <f>SUM(E26:H29)</f>
        <v>10920</v>
      </c>
      <c r="Q26" s="479">
        <f>P26*R7/D5</f>
        <v>25.395348837209301</v>
      </c>
      <c r="R26" s="455">
        <f>Q26/R7</f>
        <v>1.0581395348837208</v>
      </c>
      <c r="S26" s="449">
        <f>D5-P26</f>
        <v>-600</v>
      </c>
      <c r="T26" s="476">
        <f>S26/D5</f>
        <v>-5.8139534883720929E-2</v>
      </c>
      <c r="U26" s="334"/>
      <c r="V26" s="254"/>
      <c r="W26" s="212"/>
      <c r="X26" s="212"/>
      <c r="Y26" s="212"/>
      <c r="Z26" s="212"/>
      <c r="AA26" s="212"/>
      <c r="AB26" s="212"/>
      <c r="AC26" s="196"/>
      <c r="AD26" s="189"/>
      <c r="AE26" s="203"/>
      <c r="AF26" s="71"/>
    </row>
    <row r="27" spans="1:32" ht="19.5" customHeight="1" thickTop="1">
      <c r="A27" s="646"/>
      <c r="B27" s="512"/>
      <c r="C27" s="467"/>
      <c r="D27" s="526"/>
      <c r="E27" s="532"/>
      <c r="F27" s="532"/>
      <c r="G27" s="631"/>
      <c r="H27" s="532"/>
      <c r="I27" s="21"/>
      <c r="J27" s="582"/>
      <c r="K27" s="582"/>
      <c r="L27" s="582"/>
      <c r="M27" s="582"/>
      <c r="N27" s="585"/>
      <c r="O27" s="21"/>
      <c r="P27" s="450"/>
      <c r="Q27" s="480"/>
      <c r="R27" s="456"/>
      <c r="S27" s="450"/>
      <c r="T27" s="477"/>
      <c r="U27" s="479">
        <f>Y27+Y29+Q26</f>
        <v>25.395348837209301</v>
      </c>
      <c r="V27" s="232"/>
      <c r="W27" s="210"/>
      <c r="X27" s="210"/>
      <c r="Y27" s="210"/>
      <c r="Z27" s="210"/>
      <c r="AA27" s="210"/>
      <c r="AB27" s="210"/>
      <c r="AC27" s="194"/>
      <c r="AD27" s="190"/>
      <c r="AE27" s="203"/>
      <c r="AF27" s="71"/>
    </row>
    <row r="28" spans="1:32" ht="21.75" customHeight="1" thickBot="1">
      <c r="A28" s="646"/>
      <c r="B28" s="512"/>
      <c r="C28" s="495" t="s">
        <v>19</v>
      </c>
      <c r="D28" s="493" t="s">
        <v>17</v>
      </c>
      <c r="E28" s="343"/>
      <c r="F28" s="40"/>
      <c r="G28" s="583">
        <f>47*120</f>
        <v>5640</v>
      </c>
      <c r="H28" s="40"/>
      <c r="I28" s="21"/>
      <c r="J28" s="584">
        <f>$G28*J5</f>
        <v>2538</v>
      </c>
      <c r="K28" s="584">
        <f t="shared" ref="K28:M28" si="2">$G28*K5</f>
        <v>1513.212</v>
      </c>
      <c r="L28" s="584">
        <f t="shared" si="2"/>
        <v>1510.9560000000001</v>
      </c>
      <c r="M28" s="584">
        <f t="shared" si="2"/>
        <v>77.831999999999994</v>
      </c>
      <c r="N28" s="44"/>
      <c r="O28" s="21"/>
      <c r="P28" s="450"/>
      <c r="Q28" s="480"/>
      <c r="R28" s="456"/>
      <c r="S28" s="450"/>
      <c r="T28" s="477"/>
      <c r="U28" s="450"/>
      <c r="V28" s="232"/>
      <c r="W28" s="210"/>
      <c r="X28" s="210"/>
      <c r="Y28" s="210"/>
      <c r="Z28" s="210"/>
      <c r="AA28" s="210"/>
      <c r="AB28" s="210"/>
      <c r="AC28" s="194"/>
      <c r="AD28" s="282"/>
      <c r="AE28" s="203"/>
      <c r="AF28" s="71"/>
    </row>
    <row r="29" spans="1:32" ht="21.75" customHeight="1" thickTop="1" thickBot="1">
      <c r="A29" s="646"/>
      <c r="B29" s="513"/>
      <c r="C29" s="451"/>
      <c r="D29" s="494"/>
      <c r="E29" s="297"/>
      <c r="F29" s="22"/>
      <c r="G29" s="600"/>
      <c r="H29" s="22"/>
      <c r="I29" s="23"/>
      <c r="J29" s="629">
        <f>$F29*J4</f>
        <v>0</v>
      </c>
      <c r="K29" s="629">
        <f t="shared" ref="K29:M29" si="3">$F29*K4</f>
        <v>0</v>
      </c>
      <c r="L29" s="629">
        <f t="shared" si="3"/>
        <v>0</v>
      </c>
      <c r="M29" s="629">
        <f t="shared" si="3"/>
        <v>0</v>
      </c>
      <c r="N29" s="342">
        <f>$F29*N4</f>
        <v>0</v>
      </c>
      <c r="O29" s="23"/>
      <c r="P29" s="451"/>
      <c r="Q29" s="481"/>
      <c r="R29" s="457"/>
      <c r="S29" s="451"/>
      <c r="T29" s="478"/>
      <c r="U29" s="451"/>
      <c r="V29" s="234"/>
      <c r="W29" s="230"/>
      <c r="X29" s="230"/>
      <c r="Y29" s="213"/>
      <c r="Z29" s="213"/>
      <c r="AA29" s="213"/>
      <c r="AB29" s="230"/>
      <c r="AC29" s="235"/>
      <c r="AD29" s="191"/>
      <c r="AE29" s="347">
        <f>SUM(V26:AC29)+Q26</f>
        <v>25.395348837209301</v>
      </c>
      <c r="AF29" s="71"/>
    </row>
    <row r="30" spans="1:32" ht="19.5" customHeight="1" thickTop="1" thickBot="1">
      <c r="A30" s="646" t="s">
        <v>26</v>
      </c>
      <c r="B30" s="511">
        <v>42917</v>
      </c>
      <c r="C30" s="449" t="s">
        <v>16</v>
      </c>
      <c r="D30" s="525" t="s">
        <v>22</v>
      </c>
      <c r="E30" s="339"/>
      <c r="F30" s="531"/>
      <c r="G30" s="630">
        <f>40*120</f>
        <v>4800</v>
      </c>
      <c r="H30" s="531"/>
      <c r="I30" s="448"/>
      <c r="J30" s="581">
        <f>$G30*J5</f>
        <v>2160</v>
      </c>
      <c r="K30" s="581">
        <f t="shared" ref="K30:M30" si="4">$G30*K5</f>
        <v>1287.8399999999999</v>
      </c>
      <c r="L30" s="581">
        <f t="shared" si="4"/>
        <v>1285.92</v>
      </c>
      <c r="M30" s="581">
        <f t="shared" si="4"/>
        <v>66.239999999999995</v>
      </c>
      <c r="N30" s="535">
        <f>$F30*N$4</f>
        <v>0</v>
      </c>
      <c r="O30" s="448"/>
      <c r="P30" s="449">
        <f>SUM(E30:H33)</f>
        <v>10080</v>
      </c>
      <c r="Q30" s="502">
        <f>P30*R7/D5</f>
        <v>23.441860465116278</v>
      </c>
      <c r="R30" s="574">
        <f>Q30/R7</f>
        <v>0.97674418604651159</v>
      </c>
      <c r="S30" s="449">
        <f>D5-P30</f>
        <v>240</v>
      </c>
      <c r="T30" s="458">
        <f>S30/D5</f>
        <v>2.3255813953488372E-2</v>
      </c>
      <c r="U30" s="332"/>
      <c r="V30" s="254"/>
      <c r="W30" s="212"/>
      <c r="X30" s="212"/>
      <c r="Y30" s="212"/>
      <c r="Z30" s="212"/>
      <c r="AA30" s="212"/>
      <c r="AB30" s="212"/>
      <c r="AC30" s="196"/>
      <c r="AD30" s="189"/>
      <c r="AE30" s="203"/>
      <c r="AF30" s="71"/>
    </row>
    <row r="31" spans="1:32" ht="19.5" customHeight="1" thickTop="1">
      <c r="A31" s="646"/>
      <c r="B31" s="512"/>
      <c r="C31" s="467"/>
      <c r="D31" s="526"/>
      <c r="E31" s="339"/>
      <c r="F31" s="532"/>
      <c r="G31" s="631"/>
      <c r="H31" s="532"/>
      <c r="I31" s="448"/>
      <c r="J31" s="582"/>
      <c r="K31" s="582"/>
      <c r="L31" s="582"/>
      <c r="M31" s="582"/>
      <c r="N31" s="536"/>
      <c r="O31" s="448"/>
      <c r="P31" s="450"/>
      <c r="Q31" s="503"/>
      <c r="R31" s="573"/>
      <c r="S31" s="450"/>
      <c r="T31" s="459"/>
      <c r="U31" s="479">
        <f>Q30+Y32</f>
        <v>23.441860465116278</v>
      </c>
      <c r="V31" s="232"/>
      <c r="W31" s="210"/>
      <c r="X31" s="248">
        <v>0.5</v>
      </c>
      <c r="Y31" s="210"/>
      <c r="Z31" s="210"/>
      <c r="AA31" s="210"/>
      <c r="AB31" s="210"/>
      <c r="AC31" s="194"/>
      <c r="AD31" s="190"/>
      <c r="AE31" s="203"/>
      <c r="AF31" s="71"/>
    </row>
    <row r="32" spans="1:32" ht="19.5" customHeight="1">
      <c r="A32" s="646"/>
      <c r="B32" s="512"/>
      <c r="C32" s="495" t="s">
        <v>19</v>
      </c>
      <c r="D32" s="493" t="s">
        <v>17</v>
      </c>
      <c r="E32" s="40"/>
      <c r="F32" s="40"/>
      <c r="G32" s="583">
        <f>44*120</f>
        <v>5280</v>
      </c>
      <c r="H32" s="40"/>
      <c r="I32" s="21"/>
      <c r="J32" s="636">
        <f>G32*J5</f>
        <v>2376</v>
      </c>
      <c r="K32" s="584">
        <f t="shared" ref="K32:M32" si="5">$G32*K5</f>
        <v>1416.6239999999998</v>
      </c>
      <c r="L32" s="584">
        <f t="shared" si="5"/>
        <v>1414.5120000000002</v>
      </c>
      <c r="M32" s="584">
        <f t="shared" si="5"/>
        <v>72.864000000000004</v>
      </c>
      <c r="N32" s="604">
        <f>$F32*N$4</f>
        <v>0</v>
      </c>
      <c r="O32" s="21"/>
      <c r="P32" s="450"/>
      <c r="Q32" s="503"/>
      <c r="R32" s="573"/>
      <c r="S32" s="450"/>
      <c r="T32" s="459"/>
      <c r="U32" s="480"/>
      <c r="V32" s="232"/>
      <c r="W32" s="210"/>
      <c r="X32" s="210"/>
      <c r="Y32" s="210"/>
      <c r="Z32" s="210"/>
      <c r="AA32" s="210"/>
      <c r="AB32" s="210"/>
      <c r="AC32" s="194"/>
      <c r="AD32" s="282"/>
      <c r="AE32" s="203"/>
      <c r="AF32" s="71"/>
    </row>
    <row r="33" spans="1:32" ht="19.5" customHeight="1" thickBot="1">
      <c r="A33" s="646"/>
      <c r="B33" s="513"/>
      <c r="C33" s="451"/>
      <c r="D33" s="494"/>
      <c r="E33" s="22"/>
      <c r="F33" s="22"/>
      <c r="G33" s="600"/>
      <c r="H33" s="22"/>
      <c r="I33" s="21"/>
      <c r="J33" s="637"/>
      <c r="K33" s="629">
        <f t="shared" ref="K33:M33" si="6">$F33*K8</f>
        <v>0</v>
      </c>
      <c r="L33" s="629">
        <f t="shared" si="6"/>
        <v>0</v>
      </c>
      <c r="M33" s="629">
        <f t="shared" si="6"/>
        <v>0</v>
      </c>
      <c r="N33" s="641"/>
      <c r="O33" s="21"/>
      <c r="P33" s="451"/>
      <c r="Q33" s="504"/>
      <c r="R33" s="554"/>
      <c r="S33" s="451"/>
      <c r="T33" s="460"/>
      <c r="U33" s="481"/>
      <c r="V33" s="234"/>
      <c r="W33" s="230"/>
      <c r="X33" s="230"/>
      <c r="Y33" s="213"/>
      <c r="Z33" s="213"/>
      <c r="AA33" s="213"/>
      <c r="AB33" s="230"/>
      <c r="AC33" s="235"/>
      <c r="AD33" s="191"/>
      <c r="AE33" s="203">
        <f>SUM(V30:AC33)+Q30</f>
        <v>23.941860465116278</v>
      </c>
      <c r="AF33" s="71"/>
    </row>
    <row r="34" spans="1:32" ht="19.5" customHeight="1" thickTop="1" thickBot="1">
      <c r="A34" s="646" t="s">
        <v>28</v>
      </c>
      <c r="B34" s="521">
        <v>42918</v>
      </c>
      <c r="C34" s="544" t="s">
        <v>16</v>
      </c>
      <c r="D34" s="525" t="s">
        <v>22</v>
      </c>
      <c r="E34" s="531"/>
      <c r="F34" s="531"/>
      <c r="G34" s="630">
        <f>37*120</f>
        <v>4440</v>
      </c>
      <c r="H34" s="531"/>
      <c r="I34" s="21"/>
      <c r="J34" s="581">
        <f>$G34*J$5</f>
        <v>1998</v>
      </c>
      <c r="K34" s="581">
        <f t="shared" ref="K34:M34" si="7">$G34*K$5</f>
        <v>1191.252</v>
      </c>
      <c r="L34" s="581">
        <f t="shared" si="7"/>
        <v>1189.4760000000001</v>
      </c>
      <c r="M34" s="581">
        <f t="shared" si="7"/>
        <v>61.271999999999998</v>
      </c>
      <c r="N34" s="535">
        <f>$F34*N$4</f>
        <v>0</v>
      </c>
      <c r="O34" s="21"/>
      <c r="P34" s="449">
        <f>G34</f>
        <v>4440</v>
      </c>
      <c r="Q34" s="638">
        <f>P34*R6/D6</f>
        <v>10.325581395348838</v>
      </c>
      <c r="R34" s="574">
        <f>Q34/R6</f>
        <v>0.86046511627906985</v>
      </c>
      <c r="S34" s="544">
        <f>D5-P34</f>
        <v>5880</v>
      </c>
      <c r="T34" s="565">
        <f>+S34/D5</f>
        <v>0.56976744186046513</v>
      </c>
      <c r="U34" s="161"/>
      <c r="V34" s="254"/>
      <c r="W34" s="212"/>
      <c r="X34" s="212"/>
      <c r="Y34" s="212"/>
      <c r="Z34" s="212"/>
      <c r="AA34" s="212"/>
      <c r="AB34" s="212"/>
      <c r="AC34" s="196"/>
      <c r="AD34" s="189"/>
      <c r="AE34" s="203"/>
      <c r="AF34" s="71"/>
    </row>
    <row r="35" spans="1:32" ht="19.5" customHeight="1" thickTop="1">
      <c r="A35" s="646"/>
      <c r="B35" s="593"/>
      <c r="C35" s="594"/>
      <c r="D35" s="526"/>
      <c r="E35" s="532"/>
      <c r="F35" s="532"/>
      <c r="G35" s="631"/>
      <c r="H35" s="532"/>
      <c r="I35" s="25"/>
      <c r="J35" s="582"/>
      <c r="K35" s="634"/>
      <c r="L35" s="634"/>
      <c r="M35" s="634"/>
      <c r="N35" s="536"/>
      <c r="O35" s="25"/>
      <c r="P35" s="450"/>
      <c r="Q35" s="639"/>
      <c r="R35" s="573"/>
      <c r="S35" s="590"/>
      <c r="T35" s="591"/>
      <c r="U35" s="49"/>
      <c r="V35" s="232">
        <v>1.75</v>
      </c>
      <c r="W35" s="210"/>
      <c r="X35" s="210"/>
      <c r="Y35" s="210"/>
      <c r="Z35" s="210"/>
      <c r="AA35" s="210"/>
      <c r="AB35" s="210"/>
      <c r="AC35" s="194"/>
      <c r="AD35" s="190"/>
      <c r="AE35" s="203"/>
      <c r="AF35" s="71"/>
    </row>
    <row r="36" spans="1:32" ht="20.25" customHeight="1">
      <c r="A36" s="646"/>
      <c r="B36" s="593"/>
      <c r="C36" s="592" t="s">
        <v>19</v>
      </c>
      <c r="D36" s="602" t="s">
        <v>17</v>
      </c>
      <c r="E36" s="40"/>
      <c r="F36" s="40"/>
      <c r="G36" s="40"/>
      <c r="H36" s="40"/>
      <c r="I36" s="21"/>
      <c r="J36" s="570">
        <f>$F36*J$4</f>
        <v>0</v>
      </c>
      <c r="K36" s="570">
        <f>$F36*K$4</f>
        <v>0</v>
      </c>
      <c r="L36" s="570">
        <f>$F36*L$4</f>
        <v>0</v>
      </c>
      <c r="M36" s="570">
        <f>$F36*M$4</f>
        <v>0</v>
      </c>
      <c r="N36" s="570">
        <f>$F36*N$4</f>
        <v>0</v>
      </c>
      <c r="O36" s="21"/>
      <c r="P36" s="450"/>
      <c r="Q36" s="639"/>
      <c r="R36" s="573"/>
      <c r="S36" s="590"/>
      <c r="T36" s="591"/>
      <c r="U36" s="163"/>
      <c r="V36" s="232"/>
      <c r="W36" s="210"/>
      <c r="X36" s="210"/>
      <c r="Y36" s="210"/>
      <c r="Z36" s="210"/>
      <c r="AA36" s="210"/>
      <c r="AB36" s="210"/>
      <c r="AC36" s="194"/>
      <c r="AD36" s="282"/>
      <c r="AE36" s="203"/>
      <c r="AF36" s="71"/>
    </row>
    <row r="37" spans="1:32" ht="20.25" customHeight="1" thickBot="1">
      <c r="A37" s="646"/>
      <c r="B37" s="522"/>
      <c r="C37" s="545"/>
      <c r="D37" s="603"/>
      <c r="E37" s="22"/>
      <c r="F37" s="22"/>
      <c r="G37" s="22"/>
      <c r="H37" s="22"/>
      <c r="I37" s="23"/>
      <c r="J37" s="585"/>
      <c r="K37" s="585"/>
      <c r="L37" s="585"/>
      <c r="M37" s="585"/>
      <c r="N37" s="585"/>
      <c r="O37" s="23"/>
      <c r="P37" s="451"/>
      <c r="Q37" s="640"/>
      <c r="R37" s="554"/>
      <c r="S37" s="545"/>
      <c r="T37" s="566"/>
      <c r="U37" s="54"/>
      <c r="V37" s="234"/>
      <c r="W37" s="230"/>
      <c r="X37" s="230"/>
      <c r="Y37" s="213"/>
      <c r="Z37" s="213"/>
      <c r="AA37" s="213"/>
      <c r="AB37" s="230"/>
      <c r="AC37" s="235"/>
      <c r="AD37" s="191"/>
      <c r="AE37" s="203">
        <f>SUM(V34:AC37)+Q34</f>
        <v>12.075581395348838</v>
      </c>
      <c r="AF37" s="71"/>
    </row>
    <row r="38" spans="1:32" ht="15.75" customHeight="1" thickTop="1">
      <c r="B38" s="516" t="s">
        <v>36</v>
      </c>
      <c r="C38" s="516"/>
      <c r="D38" s="516"/>
      <c r="J38" s="632">
        <f>SUM(J10:J37)</f>
        <v>12960</v>
      </c>
      <c r="K38" s="514">
        <f>SUM(K10:K37)</f>
        <v>7727.0399999999991</v>
      </c>
      <c r="L38" s="514">
        <f>SUM(L10:L37)</f>
        <v>7715.5200000000023</v>
      </c>
      <c r="M38" s="514">
        <f>SUM(M10:M37)</f>
        <v>397.44</v>
      </c>
      <c r="N38" s="514">
        <f>SUM(N10:N37)</f>
        <v>0</v>
      </c>
      <c r="Q38" s="83"/>
      <c r="AD38" s="192"/>
    </row>
    <row r="39" spans="1:32" ht="21" customHeight="1">
      <c r="B39" s="635"/>
      <c r="C39" s="635"/>
      <c r="D39" s="635"/>
      <c r="E39" s="59">
        <f>SUM(E11:E37)</f>
        <v>0</v>
      </c>
      <c r="F39" s="60">
        <f>SUM(F10:F36)</f>
        <v>0</v>
      </c>
      <c r="G39" s="61">
        <f>SUM(G11:G37)</f>
        <v>28800</v>
      </c>
      <c r="H39" s="62">
        <f>SUM(H11:H37)</f>
        <v>0</v>
      </c>
      <c r="I39" s="55"/>
      <c r="J39" s="633"/>
      <c r="K39" s="515"/>
      <c r="L39" s="515"/>
      <c r="M39" s="515"/>
      <c r="N39" s="515"/>
      <c r="O39" s="55">
        <f>SUM(O11:O37)</f>
        <v>0</v>
      </c>
      <c r="Q39" s="80">
        <f>SUM(Q10:Q37)</f>
        <v>66.976744186046517</v>
      </c>
      <c r="R39" s="80"/>
      <c r="S39" s="80"/>
      <c r="T39" s="81" t="s">
        <v>35</v>
      </c>
      <c r="U39" s="80">
        <f t="shared" ref="U39:AC39" si="8">SUM(U10:U37)</f>
        <v>53.581395348837205</v>
      </c>
      <c r="V39" s="80">
        <f t="shared" si="8"/>
        <v>7.75</v>
      </c>
      <c r="W39" s="80">
        <f t="shared" si="8"/>
        <v>48</v>
      </c>
      <c r="X39" s="379">
        <f t="shared" si="8"/>
        <v>0.5</v>
      </c>
      <c r="Y39" s="80">
        <f t="shared" si="8"/>
        <v>0</v>
      </c>
      <c r="Z39" s="80">
        <f t="shared" si="8"/>
        <v>0</v>
      </c>
      <c r="AA39" s="80">
        <f t="shared" si="8"/>
        <v>0</v>
      </c>
      <c r="AB39" s="80">
        <f t="shared" si="8"/>
        <v>10.25</v>
      </c>
      <c r="AC39" s="80">
        <f t="shared" si="8"/>
        <v>12</v>
      </c>
      <c r="AD39" s="55" t="s">
        <v>29</v>
      </c>
      <c r="AE39" s="348"/>
    </row>
    <row r="40" spans="1:32" ht="23.25">
      <c r="C40" s="56" t="s">
        <v>30</v>
      </c>
      <c r="D40" s="57"/>
      <c r="E40" s="595">
        <f>E39+F39+G39+H39</f>
        <v>28800</v>
      </c>
      <c r="F40" s="595"/>
      <c r="G40" s="595"/>
      <c r="H40" s="595"/>
      <c r="Q40" s="264"/>
      <c r="R40" s="245"/>
      <c r="S40" s="262"/>
      <c r="U40" s="78"/>
      <c r="V40" s="78"/>
      <c r="W40" s="78"/>
      <c r="X40" s="173"/>
      <c r="Y40" s="164"/>
      <c r="Z40" s="164"/>
      <c r="AA40" s="164"/>
      <c r="AB40" s="164"/>
      <c r="AC40" s="164"/>
      <c r="AD40" s="267"/>
    </row>
    <row r="41" spans="1:32" ht="18.75" customHeight="1">
      <c r="E41" s="400"/>
      <c r="Q41" s="76" t="s">
        <v>34</v>
      </c>
      <c r="S41" s="599">
        <f>P45*P46*P47</f>
        <v>0.4548611111111111</v>
      </c>
      <c r="T41" s="599"/>
    </row>
    <row r="42" spans="1:32" ht="23.25">
      <c r="R42" s="76" t="s">
        <v>33</v>
      </c>
      <c r="U42" s="75">
        <f>V39/E3</f>
        <v>4.6130952380952384E-2</v>
      </c>
      <c r="V42" s="370">
        <f t="shared" ref="V42:AC42" si="9">V39/$E$4</f>
        <v>5.3819444444444448E-2</v>
      </c>
      <c r="W42" s="371">
        <f t="shared" si="9"/>
        <v>0.33333333333333331</v>
      </c>
      <c r="X42" s="372">
        <f t="shared" si="9"/>
        <v>3.472222222222222E-3</v>
      </c>
      <c r="Y42" s="373">
        <f t="shared" si="9"/>
        <v>0</v>
      </c>
      <c r="Z42" s="374">
        <f t="shared" si="9"/>
        <v>0</v>
      </c>
      <c r="AA42" s="375">
        <f t="shared" si="9"/>
        <v>0</v>
      </c>
      <c r="AB42" s="376">
        <f t="shared" si="9"/>
        <v>7.1180555555555552E-2</v>
      </c>
      <c r="AC42" s="377">
        <f t="shared" si="9"/>
        <v>8.3333333333333329E-2</v>
      </c>
    </row>
    <row r="43" spans="1:32">
      <c r="E43" s="72"/>
      <c r="G43" s="598"/>
      <c r="H43" s="5"/>
    </row>
    <row r="44" spans="1:32">
      <c r="E44" s="72"/>
      <c r="G44" s="598"/>
      <c r="H44" s="5"/>
    </row>
    <row r="45" spans="1:32">
      <c r="D45" s="72" t="s">
        <v>103</v>
      </c>
      <c r="E45">
        <v>144</v>
      </c>
      <c r="G45" s="180" t="s">
        <v>70</v>
      </c>
      <c r="M45"/>
      <c r="P45" s="176">
        <f>+E46/E45</f>
        <v>0.66666666666666663</v>
      </c>
      <c r="T45" s="596"/>
      <c r="U45" s="596"/>
      <c r="V45" s="596"/>
      <c r="Z45" s="338"/>
    </row>
    <row r="46" spans="1:32">
      <c r="D46" s="72" t="s">
        <v>69</v>
      </c>
      <c r="E46" s="71">
        <f>E45-W39</f>
        <v>96</v>
      </c>
      <c r="G46" s="180" t="s">
        <v>71</v>
      </c>
      <c r="M46"/>
      <c r="P46" s="176">
        <f>+E47/E46</f>
        <v>0.6875</v>
      </c>
      <c r="T46" s="597"/>
      <c r="U46" s="597"/>
      <c r="V46" s="597"/>
      <c r="AD46" s="337"/>
    </row>
    <row r="47" spans="1:32">
      <c r="D47" s="72" t="s">
        <v>68</v>
      </c>
      <c r="E47" s="71">
        <f>+E46-Z39-AA39-V39-Y39-AB39-AC39</f>
        <v>66</v>
      </c>
      <c r="G47" s="180" t="s">
        <v>104</v>
      </c>
      <c r="L47"/>
      <c r="M47"/>
      <c r="P47" s="176">
        <f>+E48/E47</f>
        <v>0.99242424242424243</v>
      </c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32">
      <c r="D48" s="72" t="s">
        <v>72</v>
      </c>
      <c r="E48" s="378">
        <f>E47-X39</f>
        <v>65.5</v>
      </c>
      <c r="L48" s="69"/>
      <c r="M48" s="177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4" customFormat="1">
      <c r="A49" s="384"/>
      <c r="G49" s="180"/>
      <c r="H49" s="67"/>
      <c r="I49"/>
      <c r="J49"/>
      <c r="K49" s="66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4" customFormat="1">
      <c r="A50" s="384"/>
      <c r="G50"/>
      <c r="H50" s="67"/>
      <c r="I50"/>
      <c r="J50"/>
      <c r="K50" s="66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4" customFormat="1">
      <c r="A51" s="384"/>
      <c r="G51"/>
      <c r="H51" s="66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4" customFormat="1">
      <c r="A52" s="384"/>
      <c r="G52"/>
      <c r="H52"/>
      <c r="I52"/>
      <c r="J52"/>
      <c r="K52" s="5"/>
      <c r="L52" s="73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4" customFormat="1">
      <c r="A53" s="384"/>
      <c r="G53"/>
      <c r="H53"/>
      <c r="I53"/>
      <c r="J53"/>
      <c r="K53" s="5"/>
      <c r="L53" s="5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s="4" customFormat="1">
      <c r="A54" s="384"/>
      <c r="G54"/>
      <c r="H54"/>
      <c r="I54"/>
      <c r="J54"/>
      <c r="K54" s="5"/>
      <c r="L54" s="341"/>
      <c r="M54" s="5"/>
      <c r="N54"/>
      <c r="O54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4" customFormat="1" ht="18">
      <c r="A55" s="384"/>
      <c r="G55"/>
      <c r="H55" s="58"/>
      <c r="I55"/>
      <c r="J55" s="5"/>
      <c r="K55" s="5"/>
      <c r="L55" s="340"/>
      <c r="M55" s="5"/>
      <c r="N55"/>
      <c r="O5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4" customFormat="1">
      <c r="A56" s="384"/>
      <c r="G56"/>
      <c r="H56"/>
      <c r="I56"/>
      <c r="J56" s="5"/>
      <c r="K56" s="5"/>
      <c r="L56" s="178"/>
      <c r="M56" s="5"/>
      <c r="N56"/>
      <c r="O56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4" customFormat="1" ht="18">
      <c r="A57" s="384"/>
      <c r="G57"/>
      <c r="H57" s="58"/>
      <c r="I57"/>
      <c r="J57" s="5"/>
      <c r="K57" s="5"/>
      <c r="L57" s="5"/>
      <c r="M57" s="5"/>
      <c r="N57"/>
      <c r="O57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</sheetData>
  <mergeCells count="174">
    <mergeCell ref="Q1:X1"/>
    <mergeCell ref="D10:H13"/>
    <mergeCell ref="D14:H17"/>
    <mergeCell ref="A22:A25"/>
    <mergeCell ref="A26:A29"/>
    <mergeCell ref="A30:A33"/>
    <mergeCell ref="A34:A37"/>
    <mergeCell ref="I8:I9"/>
    <mergeCell ref="I30:I31"/>
    <mergeCell ref="A14:A17"/>
    <mergeCell ref="B14:B17"/>
    <mergeCell ref="C14:C15"/>
    <mergeCell ref="C16:C17"/>
    <mergeCell ref="A10:A13"/>
    <mergeCell ref="C20:C21"/>
    <mergeCell ref="D20:D21"/>
    <mergeCell ref="K22:K23"/>
    <mergeCell ref="N26:N27"/>
    <mergeCell ref="M26:M27"/>
    <mergeCell ref="N20:N21"/>
    <mergeCell ref="A18:A21"/>
    <mergeCell ref="G3:H3"/>
    <mergeCell ref="G4:H4"/>
    <mergeCell ref="G5:H5"/>
    <mergeCell ref="V8:AB8"/>
    <mergeCell ref="B10:B13"/>
    <mergeCell ref="C10:C11"/>
    <mergeCell ref="R8:R9"/>
    <mergeCell ref="S8:T8"/>
    <mergeCell ref="G6:H6"/>
    <mergeCell ref="B8:B9"/>
    <mergeCell ref="C8:C9"/>
    <mergeCell ref="D8:D9"/>
    <mergeCell ref="E8:H8"/>
    <mergeCell ref="J8:N8"/>
    <mergeCell ref="O8:O9"/>
    <mergeCell ref="U11:U13"/>
    <mergeCell ref="C12:C13"/>
    <mergeCell ref="P10:P13"/>
    <mergeCell ref="Q10:Q13"/>
    <mergeCell ref="R10:R13"/>
    <mergeCell ref="S10:S13"/>
    <mergeCell ref="T10:T13"/>
    <mergeCell ref="P14:P17"/>
    <mergeCell ref="Q14:Q17"/>
    <mergeCell ref="R14:R17"/>
    <mergeCell ref="S14:S17"/>
    <mergeCell ref="T14:T17"/>
    <mergeCell ref="R18:R21"/>
    <mergeCell ref="S18:S21"/>
    <mergeCell ref="U15:U17"/>
    <mergeCell ref="D22:D23"/>
    <mergeCell ref="E22:E23"/>
    <mergeCell ref="F22:F23"/>
    <mergeCell ref="G22:G23"/>
    <mergeCell ref="H22:H23"/>
    <mergeCell ref="I22:I25"/>
    <mergeCell ref="J22:J23"/>
    <mergeCell ref="U19:U21"/>
    <mergeCell ref="T18:T21"/>
    <mergeCell ref="P18:P21"/>
    <mergeCell ref="Q18:Q21"/>
    <mergeCell ref="P22:P25"/>
    <mergeCell ref="B22:B25"/>
    <mergeCell ref="C22:C23"/>
    <mergeCell ref="M20:M21"/>
    <mergeCell ref="G24:G25"/>
    <mergeCell ref="J24:J25"/>
    <mergeCell ref="K24:K25"/>
    <mergeCell ref="O18:O21"/>
    <mergeCell ref="B18:B21"/>
    <mergeCell ref="C18:C19"/>
    <mergeCell ref="G20:G21"/>
    <mergeCell ref="J20:J21"/>
    <mergeCell ref="K20:K21"/>
    <mergeCell ref="L20:L21"/>
    <mergeCell ref="U27:U29"/>
    <mergeCell ref="C28:C29"/>
    <mergeCell ref="D28:D29"/>
    <mergeCell ref="G28:G29"/>
    <mergeCell ref="S22:S25"/>
    <mergeCell ref="L22:L23"/>
    <mergeCell ref="M22:M23"/>
    <mergeCell ref="N22:N23"/>
    <mergeCell ref="L24:L25"/>
    <mergeCell ref="M24:M25"/>
    <mergeCell ref="N24:N25"/>
    <mergeCell ref="Q22:Q25"/>
    <mergeCell ref="R22:R25"/>
    <mergeCell ref="T22:T25"/>
    <mergeCell ref="U23:U25"/>
    <mergeCell ref="C24:C25"/>
    <mergeCell ref="D24:D25"/>
    <mergeCell ref="O22:O25"/>
    <mergeCell ref="S26:S29"/>
    <mergeCell ref="T26:T29"/>
    <mergeCell ref="H26:H27"/>
    <mergeCell ref="J26:J27"/>
    <mergeCell ref="K26:K27"/>
    <mergeCell ref="L26:L27"/>
    <mergeCell ref="B30:B33"/>
    <mergeCell ref="C30:C31"/>
    <mergeCell ref="D30:D31"/>
    <mergeCell ref="F30:F31"/>
    <mergeCell ref="G30:G31"/>
    <mergeCell ref="B26:B29"/>
    <mergeCell ref="C26:C27"/>
    <mergeCell ref="D26:D27"/>
    <mergeCell ref="E26:E27"/>
    <mergeCell ref="F26:F27"/>
    <mergeCell ref="C32:C33"/>
    <mergeCell ref="D32:D33"/>
    <mergeCell ref="G32:G33"/>
    <mergeCell ref="G26:G27"/>
    <mergeCell ref="D36:D37"/>
    <mergeCell ref="J36:J37"/>
    <mergeCell ref="K36:K37"/>
    <mergeCell ref="N30:N31"/>
    <mergeCell ref="N32:N33"/>
    <mergeCell ref="G43:G44"/>
    <mergeCell ref="R34:R37"/>
    <mergeCell ref="K30:K31"/>
    <mergeCell ref="E40:H40"/>
    <mergeCell ref="T45:V45"/>
    <mergeCell ref="T46:V46"/>
    <mergeCell ref="L36:L37"/>
    <mergeCell ref="M36:M37"/>
    <mergeCell ref="N36:N37"/>
    <mergeCell ref="P34:P37"/>
    <mergeCell ref="Q34:Q37"/>
    <mergeCell ref="M38:M39"/>
    <mergeCell ref="N38:N39"/>
    <mergeCell ref="S41:T41"/>
    <mergeCell ref="S34:S37"/>
    <mergeCell ref="T34:T37"/>
    <mergeCell ref="M34:M35"/>
    <mergeCell ref="N34:N35"/>
    <mergeCell ref="L34:L35"/>
    <mergeCell ref="U31:U33"/>
    <mergeCell ref="S30:S33"/>
    <mergeCell ref="T30:T33"/>
    <mergeCell ref="R30:R33"/>
    <mergeCell ref="K38:K39"/>
    <mergeCell ref="L38:L39"/>
    <mergeCell ref="D34:D35"/>
    <mergeCell ref="E34:E35"/>
    <mergeCell ref="F34:F35"/>
    <mergeCell ref="G34:G35"/>
    <mergeCell ref="H34:H35"/>
    <mergeCell ref="J34:J35"/>
    <mergeCell ref="H30:H31"/>
    <mergeCell ref="J30:J31"/>
    <mergeCell ref="J38:J39"/>
    <mergeCell ref="K34:K35"/>
    <mergeCell ref="B38:D39"/>
    <mergeCell ref="K32:K33"/>
    <mergeCell ref="L32:L33"/>
    <mergeCell ref="M32:M33"/>
    <mergeCell ref="B34:B37"/>
    <mergeCell ref="C34:C35"/>
    <mergeCell ref="J32:J33"/>
    <mergeCell ref="C36:C37"/>
    <mergeCell ref="P26:P29"/>
    <mergeCell ref="Q26:Q29"/>
    <mergeCell ref="R26:R29"/>
    <mergeCell ref="O30:O31"/>
    <mergeCell ref="P30:P33"/>
    <mergeCell ref="Q30:Q33"/>
    <mergeCell ref="J28:J29"/>
    <mergeCell ref="K28:K29"/>
    <mergeCell ref="L28:L29"/>
    <mergeCell ref="M28:M29"/>
    <mergeCell ref="L30:L31"/>
    <mergeCell ref="M30:M31"/>
  </mergeCells>
  <pageMargins left="0.31496062992125984" right="0.32" top="0.43307086614173229" bottom="0.74803149606299213" header="0.31496062992125984" footer="0.31496062992125984"/>
  <pageSetup paperSize="9" scale="55" orientation="landscape" horizontalDpi="0" verticalDpi="0" r:id="rId1"/>
  <ignoredErrors>
    <ignoredError sqref="J22 F3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AF57"/>
  <sheetViews>
    <sheetView showGridLines="0" zoomScale="80" zoomScaleNormal="80" workbookViewId="0">
      <pane ySplit="9" topLeftCell="A10" activePane="bottomLeft" state="frozen"/>
      <selection activeCell="C1" sqref="C1"/>
      <selection pane="bottomLeft" activeCell="Z27" sqref="Z27:AD27"/>
    </sheetView>
  </sheetViews>
  <sheetFormatPr baseColWidth="10" defaultRowHeight="15.75"/>
  <cols>
    <col min="1" max="1" width="6" style="382" customWidth="1"/>
    <col min="2" max="2" width="10.28515625" customWidth="1"/>
    <col min="4" max="4" width="11.85546875" customWidth="1"/>
    <col min="5" max="7" width="8.5703125" customWidth="1"/>
    <col min="8" max="8" width="9.5703125" customWidth="1"/>
    <col min="9" max="9" width="1.140625" customWidth="1"/>
    <col min="10" max="13" width="9.28515625" style="5" customWidth="1"/>
    <col min="14" max="14" width="9.28515625" customWidth="1"/>
    <col min="15" max="15" width="1.140625" customWidth="1"/>
    <col min="16" max="16" width="8.85546875" style="3" customWidth="1"/>
    <col min="17" max="17" width="9" style="3" customWidth="1"/>
    <col min="18" max="20" width="9.5703125" style="3" customWidth="1"/>
    <col min="21" max="21" width="9" style="3" hidden="1" customWidth="1"/>
    <col min="22" max="28" width="8.42578125" style="3" customWidth="1"/>
    <col min="29" max="29" width="9.28515625" style="3" customWidth="1"/>
    <col min="30" max="30" width="45.7109375" style="4" customWidth="1"/>
    <col min="31" max="31" width="11.42578125" style="202"/>
  </cols>
  <sheetData>
    <row r="1" spans="1:32">
      <c r="L1"/>
      <c r="M1"/>
    </row>
    <row r="2" spans="1:32">
      <c r="I2" s="135"/>
      <c r="J2" s="5" t="str">
        <f>J9</f>
        <v>Résine</v>
      </c>
      <c r="K2" s="5" t="str">
        <f>K9</f>
        <v xml:space="preserve">Charge </v>
      </c>
      <c r="L2" t="str">
        <f>L9</f>
        <v>DOP</v>
      </c>
      <c r="M2" t="str">
        <f>M9</f>
        <v>Stab.</v>
      </c>
      <c r="N2" s="5" t="s">
        <v>14</v>
      </c>
      <c r="O2" s="135"/>
      <c r="Q2" s="134"/>
      <c r="S2" s="128"/>
      <c r="T2" s="128"/>
      <c r="U2" s="134"/>
      <c r="V2" s="134"/>
      <c r="W2" s="134"/>
      <c r="X2" s="134"/>
      <c r="Y2" s="134"/>
      <c r="Z2" s="134"/>
      <c r="AA2" s="134"/>
      <c r="AB2" s="134"/>
      <c r="AC2" s="134"/>
    </row>
    <row r="3" spans="1:32" ht="15.75" customHeight="1">
      <c r="B3" t="s">
        <v>67</v>
      </c>
      <c r="D3" s="170" t="s">
        <v>64</v>
      </c>
      <c r="E3" s="171">
        <v>168</v>
      </c>
      <c r="F3" t="s">
        <v>66</v>
      </c>
      <c r="G3" s="537" t="str">
        <f>E9</f>
        <v>PVC Isolat°</v>
      </c>
      <c r="H3" s="537"/>
      <c r="I3" s="1"/>
      <c r="J3" s="385">
        <v>0.46</v>
      </c>
      <c r="K3" s="2">
        <v>0.30620000000000003</v>
      </c>
      <c r="L3" s="2">
        <v>0.22</v>
      </c>
      <c r="M3" s="2">
        <v>1.38E-2</v>
      </c>
      <c r="N3" s="6"/>
      <c r="O3" s="11"/>
      <c r="P3" s="391"/>
      <c r="Q3" s="391"/>
      <c r="R3" s="7"/>
      <c r="S3" s="128"/>
      <c r="T3" s="128"/>
      <c r="U3" s="132"/>
      <c r="V3" s="132"/>
      <c r="W3" s="132"/>
      <c r="X3" s="132"/>
      <c r="Y3" s="132"/>
      <c r="Z3" s="132"/>
      <c r="AA3" s="132"/>
      <c r="AB3" s="132"/>
      <c r="AC3" s="132"/>
    </row>
    <row r="4" spans="1:32" ht="15.75" customHeight="1">
      <c r="B4" t="s">
        <v>63</v>
      </c>
      <c r="D4" s="170" t="s">
        <v>93</v>
      </c>
      <c r="E4">
        <v>144</v>
      </c>
      <c r="F4" t="s">
        <v>66</v>
      </c>
      <c r="G4" s="538" t="str">
        <f>F9</f>
        <v>PVC Gris</v>
      </c>
      <c r="H4" s="538"/>
      <c r="I4" s="8"/>
      <c r="J4" s="387">
        <v>0.45</v>
      </c>
      <c r="K4" s="386">
        <v>0.26829999999999998</v>
      </c>
      <c r="L4" s="386">
        <v>0.26790000000000003</v>
      </c>
      <c r="M4" s="386">
        <v>1.38E-2</v>
      </c>
      <c r="N4" s="8">
        <v>7.4000000000000003E-3</v>
      </c>
      <c r="O4" s="130"/>
      <c r="P4" s="391"/>
      <c r="Q4" s="391"/>
      <c r="R4" s="128"/>
    </row>
    <row r="5" spans="1:32" ht="15.75" customHeight="1">
      <c r="B5" t="s">
        <v>62</v>
      </c>
      <c r="D5" s="172">
        <v>10320</v>
      </c>
      <c r="E5" t="s">
        <v>61</v>
      </c>
      <c r="G5" s="539" t="str">
        <f>G9</f>
        <v>PVC Gainage</v>
      </c>
      <c r="H5" s="539"/>
      <c r="I5" s="9"/>
      <c r="J5" s="389">
        <v>0.45</v>
      </c>
      <c r="K5" s="388">
        <v>0.26829999999999998</v>
      </c>
      <c r="L5" s="388">
        <v>0.26790000000000003</v>
      </c>
      <c r="M5" s="388">
        <v>1.38E-2</v>
      </c>
      <c r="N5" s="6"/>
      <c r="O5" s="11"/>
      <c r="P5" s="391"/>
      <c r="Q5" s="391"/>
      <c r="R5" s="128"/>
      <c r="X5" s="127"/>
    </row>
    <row r="6" spans="1:32" ht="15.75" customHeight="1">
      <c r="D6">
        <f>D5/2</f>
        <v>5160</v>
      </c>
      <c r="E6" t="s">
        <v>83</v>
      </c>
      <c r="G6" s="540" t="str">
        <f>H9</f>
        <v>PVC Bourrage</v>
      </c>
      <c r="H6" s="540"/>
      <c r="I6" s="10"/>
      <c r="J6" s="390">
        <v>0.35320000000000001</v>
      </c>
      <c r="K6" s="390">
        <v>0.42420000000000002</v>
      </c>
      <c r="L6" s="390">
        <v>0.21199999999999999</v>
      </c>
      <c r="M6" s="390">
        <v>1.06E-2</v>
      </c>
      <c r="N6" s="6"/>
      <c r="O6" s="11"/>
      <c r="P6" s="391"/>
      <c r="Q6" s="391"/>
      <c r="R6" s="3">
        <v>12</v>
      </c>
      <c r="T6" s="7"/>
      <c r="U6" s="125"/>
      <c r="V6" s="125"/>
      <c r="W6" s="125"/>
      <c r="X6" s="125"/>
      <c r="Y6" s="125"/>
      <c r="Z6" s="125"/>
      <c r="AA6" s="125"/>
      <c r="AB6" s="125"/>
      <c r="AC6" s="125"/>
    </row>
    <row r="7" spans="1:32" s="11" customFormat="1">
      <c r="A7" s="383"/>
      <c r="H7" s="12"/>
      <c r="Q7" s="125"/>
      <c r="R7" s="124">
        <v>24</v>
      </c>
      <c r="T7" s="3"/>
      <c r="U7" s="13"/>
      <c r="V7" s="13"/>
      <c r="W7" s="13"/>
      <c r="X7" s="13"/>
      <c r="Y7" s="13"/>
      <c r="Z7" s="13"/>
      <c r="AA7" s="13"/>
      <c r="AB7" s="13"/>
      <c r="AC7" s="13"/>
      <c r="AD7" s="14"/>
      <c r="AE7" s="12"/>
    </row>
    <row r="8" spans="1:32" ht="18.75" customHeight="1">
      <c r="B8" s="505" t="s">
        <v>0</v>
      </c>
      <c r="C8" s="505" t="s">
        <v>1</v>
      </c>
      <c r="D8" s="505" t="s">
        <v>2</v>
      </c>
      <c r="E8" s="509" t="s">
        <v>3</v>
      </c>
      <c r="F8" s="509"/>
      <c r="G8" s="509"/>
      <c r="H8" s="546"/>
      <c r="I8" s="448"/>
      <c r="J8" s="508" t="s">
        <v>4</v>
      </c>
      <c r="K8" s="509"/>
      <c r="L8" s="509"/>
      <c r="M8" s="509"/>
      <c r="N8" s="509"/>
      <c r="O8" s="448"/>
      <c r="P8" s="123" t="s">
        <v>49</v>
      </c>
      <c r="Q8" s="122" t="s">
        <v>48</v>
      </c>
      <c r="R8" s="541" t="s">
        <v>47</v>
      </c>
      <c r="S8" s="568" t="s">
        <v>46</v>
      </c>
      <c r="T8" s="568"/>
      <c r="V8" s="550" t="s">
        <v>33</v>
      </c>
      <c r="W8" s="551"/>
      <c r="X8" s="551"/>
      <c r="Y8" s="551"/>
      <c r="Z8" s="551"/>
      <c r="AA8" s="551"/>
      <c r="AB8" s="551"/>
      <c r="AC8" s="552"/>
      <c r="AD8" s="121"/>
    </row>
    <row r="9" spans="1:32" ht="35.25" customHeight="1">
      <c r="B9" s="505"/>
      <c r="C9" s="505"/>
      <c r="D9" s="505"/>
      <c r="E9" s="120" t="s">
        <v>6</v>
      </c>
      <c r="F9" s="119" t="s">
        <v>7</v>
      </c>
      <c r="G9" s="118" t="s">
        <v>8</v>
      </c>
      <c r="H9" s="117" t="s">
        <v>9</v>
      </c>
      <c r="I9" s="448"/>
      <c r="J9" s="17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448"/>
      <c r="P9" s="116" t="s">
        <v>45</v>
      </c>
      <c r="Q9" s="116" t="s">
        <v>44</v>
      </c>
      <c r="R9" s="542"/>
      <c r="S9" s="115" t="s">
        <v>43</v>
      </c>
      <c r="T9" s="114" t="s">
        <v>42</v>
      </c>
      <c r="U9" s="64"/>
      <c r="V9" s="204" t="s">
        <v>41</v>
      </c>
      <c r="W9" s="205" t="s">
        <v>40</v>
      </c>
      <c r="X9" s="206" t="s">
        <v>39</v>
      </c>
      <c r="Y9" s="207" t="s">
        <v>75</v>
      </c>
      <c r="Z9" s="208" t="s">
        <v>76</v>
      </c>
      <c r="AA9" s="291" t="s">
        <v>77</v>
      </c>
      <c r="AB9" s="409" t="s">
        <v>88</v>
      </c>
      <c r="AC9" s="351" t="s">
        <v>105</v>
      </c>
      <c r="AD9" s="136" t="s">
        <v>5</v>
      </c>
    </row>
    <row r="10" spans="1:32" ht="19.5" customHeight="1">
      <c r="A10" s="646" t="s">
        <v>15</v>
      </c>
      <c r="B10" s="560">
        <v>42919</v>
      </c>
      <c r="C10" s="495" t="s">
        <v>16</v>
      </c>
      <c r="D10" s="137"/>
      <c r="E10" s="369"/>
      <c r="F10" s="380"/>
      <c r="G10" s="369"/>
      <c r="H10" s="369"/>
      <c r="I10" s="21"/>
      <c r="J10" s="570"/>
      <c r="K10" s="570"/>
      <c r="L10" s="570"/>
      <c r="M10" s="570"/>
      <c r="N10" s="570"/>
      <c r="O10" s="21"/>
      <c r="P10" s="495">
        <f>E12</f>
        <v>0</v>
      </c>
      <c r="Q10" s="562">
        <f>P10*R7/D5</f>
        <v>0</v>
      </c>
      <c r="R10" s="563">
        <f>+Q10/R7</f>
        <v>0</v>
      </c>
      <c r="S10" s="495">
        <f>D5-P10</f>
        <v>10320</v>
      </c>
      <c r="T10" s="567">
        <f>S10/D5</f>
        <v>1</v>
      </c>
      <c r="U10" s="113"/>
      <c r="V10" s="232"/>
      <c r="W10" s="210"/>
      <c r="X10" s="210"/>
      <c r="Y10" s="210"/>
      <c r="Z10" s="210"/>
      <c r="AA10" s="210"/>
      <c r="AB10" s="210"/>
      <c r="AC10" s="194"/>
      <c r="AD10" s="346"/>
    </row>
    <row r="11" spans="1:32" ht="19.5" customHeight="1">
      <c r="A11" s="646"/>
      <c r="B11" s="512"/>
      <c r="C11" s="467"/>
      <c r="D11" s="137"/>
      <c r="E11" s="369"/>
      <c r="F11" s="381"/>
      <c r="G11" s="369"/>
      <c r="H11" s="369"/>
      <c r="I11" s="21"/>
      <c r="J11" s="571"/>
      <c r="K11" s="571"/>
      <c r="L11" s="571"/>
      <c r="M11" s="571"/>
      <c r="N11" s="571"/>
      <c r="O11" s="21"/>
      <c r="P11" s="450"/>
      <c r="Q11" s="453"/>
      <c r="R11" s="456"/>
      <c r="S11" s="450"/>
      <c r="T11" s="477"/>
      <c r="U11" s="564">
        <f>Q10+Y13</f>
        <v>0</v>
      </c>
      <c r="V11" s="232"/>
      <c r="W11" s="210"/>
      <c r="X11" s="210"/>
      <c r="Y11" s="210"/>
      <c r="Z11" s="210"/>
      <c r="AA11" s="210"/>
      <c r="AB11" s="210"/>
      <c r="AC11" s="194"/>
      <c r="AD11" s="346"/>
    </row>
    <row r="12" spans="1:32" ht="19.5" customHeight="1">
      <c r="A12" s="646"/>
      <c r="B12" s="512"/>
      <c r="C12" s="495" t="s">
        <v>19</v>
      </c>
      <c r="D12" s="654" t="s">
        <v>108</v>
      </c>
      <c r="E12" s="39"/>
      <c r="F12" s="651">
        <v>0</v>
      </c>
      <c r="G12" s="40"/>
      <c r="H12" s="40"/>
      <c r="I12" s="21"/>
      <c r="J12" s="474">
        <f>$F12*J$4</f>
        <v>0</v>
      </c>
      <c r="K12" s="474">
        <f t="shared" ref="K12:N12" si="0">$F12*K$4</f>
        <v>0</v>
      </c>
      <c r="L12" s="474">
        <f t="shared" si="0"/>
        <v>0</v>
      </c>
      <c r="M12" s="474">
        <f t="shared" si="0"/>
        <v>0</v>
      </c>
      <c r="N12" s="474">
        <f t="shared" si="0"/>
        <v>0</v>
      </c>
      <c r="O12" s="21"/>
      <c r="P12" s="450"/>
      <c r="Q12" s="453"/>
      <c r="R12" s="456"/>
      <c r="S12" s="450"/>
      <c r="T12" s="477"/>
      <c r="U12" s="480"/>
      <c r="V12" s="232"/>
      <c r="W12" s="210"/>
      <c r="X12" s="210"/>
      <c r="Y12" s="248"/>
      <c r="Z12" s="210"/>
      <c r="AA12" s="210"/>
      <c r="AB12" s="349">
        <v>12</v>
      </c>
      <c r="AC12" s="314"/>
      <c r="AD12" s="410" t="s">
        <v>113</v>
      </c>
    </row>
    <row r="13" spans="1:32" ht="19.5" customHeight="1" thickBot="1">
      <c r="A13" s="646"/>
      <c r="B13" s="513"/>
      <c r="C13" s="451"/>
      <c r="D13" s="655"/>
      <c r="E13" s="39"/>
      <c r="F13" s="649"/>
      <c r="G13" s="40"/>
      <c r="H13" s="40"/>
      <c r="I13" s="21"/>
      <c r="J13" s="647"/>
      <c r="K13" s="647"/>
      <c r="L13" s="647"/>
      <c r="M13" s="647"/>
      <c r="N13" s="647"/>
      <c r="O13" s="23"/>
      <c r="P13" s="451"/>
      <c r="Q13" s="454"/>
      <c r="R13" s="457"/>
      <c r="S13" s="451"/>
      <c r="T13" s="478"/>
      <c r="U13" s="481"/>
      <c r="V13" s="234"/>
      <c r="W13" s="230"/>
      <c r="X13" s="230"/>
      <c r="Y13" s="230"/>
      <c r="Z13" s="230"/>
      <c r="AA13" s="230"/>
      <c r="AB13" s="230"/>
      <c r="AC13" s="350"/>
      <c r="AD13" s="286"/>
      <c r="AE13" s="347">
        <f>SUM(V10:AC13)+Q10</f>
        <v>12</v>
      </c>
      <c r="AF13" s="71"/>
    </row>
    <row r="14" spans="1:32" ht="19.5" customHeight="1" thickTop="1">
      <c r="A14" s="646" t="s">
        <v>21</v>
      </c>
      <c r="B14" s="511">
        <v>42920</v>
      </c>
      <c r="C14" s="449" t="s">
        <v>16</v>
      </c>
      <c r="D14" s="652" t="s">
        <v>109</v>
      </c>
      <c r="E14" s="531"/>
      <c r="F14" s="607">
        <v>0</v>
      </c>
      <c r="G14" s="531"/>
      <c r="H14" s="470"/>
      <c r="I14" s="491"/>
      <c r="J14" s="625">
        <f>$F14*J4</f>
        <v>0</v>
      </c>
      <c r="K14" s="625">
        <f t="shared" ref="K14:N14" si="1">$F14*K4</f>
        <v>0</v>
      </c>
      <c r="L14" s="625">
        <f t="shared" si="1"/>
        <v>0</v>
      </c>
      <c r="M14" s="625">
        <f t="shared" si="1"/>
        <v>0</v>
      </c>
      <c r="N14" s="625">
        <f t="shared" si="1"/>
        <v>0</v>
      </c>
      <c r="O14" s="491"/>
      <c r="P14" s="449">
        <f>SUM(E14:H17)</f>
        <v>1440</v>
      </c>
      <c r="Q14" s="502">
        <f>P14*R7/D5</f>
        <v>3.3488372093023258</v>
      </c>
      <c r="R14" s="455">
        <f>Q14/R7</f>
        <v>0.13953488372093023</v>
      </c>
      <c r="S14" s="449">
        <f>+D5-P14</f>
        <v>8880</v>
      </c>
      <c r="T14" s="476">
        <f>S14/D5</f>
        <v>0.86046511627906974</v>
      </c>
      <c r="U14" s="364"/>
      <c r="V14" s="344">
        <v>2</v>
      </c>
      <c r="W14" s="237"/>
      <c r="X14" s="237"/>
      <c r="Y14" s="237"/>
      <c r="Z14" s="237"/>
      <c r="AA14" s="237"/>
      <c r="AB14" s="237"/>
      <c r="AC14" s="238"/>
      <c r="AD14" s="111" t="s">
        <v>73</v>
      </c>
      <c r="AE14" s="347"/>
      <c r="AF14" s="71"/>
    </row>
    <row r="15" spans="1:32" ht="19.5" customHeight="1">
      <c r="A15" s="646"/>
      <c r="B15" s="512"/>
      <c r="C15" s="467"/>
      <c r="D15" s="653"/>
      <c r="E15" s="532"/>
      <c r="F15" s="648"/>
      <c r="G15" s="532"/>
      <c r="H15" s="471"/>
      <c r="I15" s="448"/>
      <c r="J15" s="575"/>
      <c r="K15" s="575"/>
      <c r="L15" s="575"/>
      <c r="M15" s="575"/>
      <c r="N15" s="575"/>
      <c r="O15" s="448"/>
      <c r="P15" s="450"/>
      <c r="Q15" s="503"/>
      <c r="R15" s="456"/>
      <c r="S15" s="450"/>
      <c r="T15" s="477"/>
      <c r="U15" s="564">
        <f>Q14+Y15+Y17</f>
        <v>3.3488372093023258</v>
      </c>
      <c r="V15" s="232"/>
      <c r="W15" s="210"/>
      <c r="X15" s="210"/>
      <c r="Y15" s="210"/>
      <c r="Z15" s="210"/>
      <c r="AA15" s="210"/>
      <c r="AB15" s="210"/>
      <c r="AC15" s="194"/>
      <c r="AD15" s="395"/>
      <c r="AE15" s="347"/>
      <c r="AF15" s="71"/>
    </row>
    <row r="16" spans="1:32" ht="19.5" customHeight="1">
      <c r="A16" s="646"/>
      <c r="B16" s="512"/>
      <c r="C16" s="495" t="s">
        <v>19</v>
      </c>
      <c r="D16" s="654" t="s">
        <v>108</v>
      </c>
      <c r="E16" s="530"/>
      <c r="F16" s="608">
        <f>12*120</f>
        <v>1440</v>
      </c>
      <c r="G16" s="40"/>
      <c r="H16" s="27"/>
      <c r="I16" s="448"/>
      <c r="J16" s="474">
        <f>$F16*J$4</f>
        <v>648</v>
      </c>
      <c r="K16" s="474">
        <f t="shared" ref="K16:N16" si="2">$F16*K$4</f>
        <v>386.35199999999998</v>
      </c>
      <c r="L16" s="474">
        <f t="shared" si="2"/>
        <v>385.77600000000007</v>
      </c>
      <c r="M16" s="474">
        <f t="shared" si="2"/>
        <v>19.872</v>
      </c>
      <c r="N16" s="474">
        <f t="shared" si="2"/>
        <v>10.656000000000001</v>
      </c>
      <c r="O16" s="448"/>
      <c r="P16" s="450"/>
      <c r="Q16" s="503"/>
      <c r="R16" s="456"/>
      <c r="S16" s="450"/>
      <c r="T16" s="477"/>
      <c r="U16" s="480"/>
      <c r="V16" s="232"/>
      <c r="W16" s="210"/>
      <c r="X16" s="210"/>
      <c r="Y16" s="248"/>
      <c r="Z16" s="210"/>
      <c r="AA16" s="210"/>
      <c r="AB16" s="411">
        <v>18.75</v>
      </c>
      <c r="AC16" s="314"/>
      <c r="AD16" s="410" t="s">
        <v>113</v>
      </c>
      <c r="AE16" s="347"/>
      <c r="AF16" s="71"/>
    </row>
    <row r="17" spans="1:32" ht="19.5" customHeight="1" thickBot="1">
      <c r="A17" s="646"/>
      <c r="B17" s="513"/>
      <c r="C17" s="451"/>
      <c r="D17" s="655"/>
      <c r="E17" s="650"/>
      <c r="F17" s="649"/>
      <c r="G17" s="22"/>
      <c r="H17" s="22"/>
      <c r="I17" s="492"/>
      <c r="J17" s="647"/>
      <c r="K17" s="647"/>
      <c r="L17" s="647"/>
      <c r="M17" s="647"/>
      <c r="N17" s="647"/>
      <c r="O17" s="492"/>
      <c r="P17" s="451"/>
      <c r="Q17" s="504"/>
      <c r="R17" s="457"/>
      <c r="S17" s="451"/>
      <c r="T17" s="478"/>
      <c r="U17" s="481"/>
      <c r="V17" s="234"/>
      <c r="W17" s="230"/>
      <c r="X17" s="230"/>
      <c r="Y17" s="230"/>
      <c r="Z17" s="230"/>
      <c r="AA17" s="230"/>
      <c r="AB17" s="230"/>
      <c r="AC17" s="350"/>
      <c r="AD17" s="281"/>
      <c r="AE17" s="347">
        <f>SUM(V14:AC17)+Q14</f>
        <v>24.098837209302324</v>
      </c>
      <c r="AF17" s="71"/>
    </row>
    <row r="18" spans="1:32" ht="18" customHeight="1" thickTop="1" thickBot="1">
      <c r="A18" s="646" t="s">
        <v>23</v>
      </c>
      <c r="B18" s="511">
        <v>42921</v>
      </c>
      <c r="C18" s="449" t="s">
        <v>16</v>
      </c>
      <c r="D18" s="652" t="s">
        <v>109</v>
      </c>
      <c r="E18" s="531"/>
      <c r="F18" s="607">
        <f>46*120</f>
        <v>5520</v>
      </c>
      <c r="G18" s="531"/>
      <c r="H18" s="470"/>
      <c r="I18" s="491"/>
      <c r="J18" s="625">
        <f>$F18*J4</f>
        <v>2484</v>
      </c>
      <c r="K18" s="625">
        <f t="shared" ref="K18:N18" si="3">$F18*K4</f>
        <v>1481.0159999999998</v>
      </c>
      <c r="L18" s="625">
        <f t="shared" si="3"/>
        <v>1478.8080000000002</v>
      </c>
      <c r="M18" s="625">
        <f t="shared" si="3"/>
        <v>76.176000000000002</v>
      </c>
      <c r="N18" s="625">
        <f t="shared" si="3"/>
        <v>40.847999999999999</v>
      </c>
      <c r="O18" s="491"/>
      <c r="P18" s="449">
        <f>SUM(E18:H21)</f>
        <v>10320</v>
      </c>
      <c r="Q18" s="479">
        <f>P18*R7/D5</f>
        <v>24</v>
      </c>
      <c r="R18" s="455">
        <f>Q18/R7</f>
        <v>1</v>
      </c>
      <c r="S18" s="449">
        <f>+D5-P18</f>
        <v>0</v>
      </c>
      <c r="T18" s="476">
        <f>S18/D5</f>
        <v>0</v>
      </c>
      <c r="U18" s="364"/>
      <c r="V18" s="254"/>
      <c r="W18" s="212"/>
      <c r="X18" s="212"/>
      <c r="Y18" s="212"/>
      <c r="Z18" s="212"/>
      <c r="AA18" s="212"/>
      <c r="AB18" s="212"/>
      <c r="AC18" s="196"/>
      <c r="AD18" s="396"/>
      <c r="AE18" s="347"/>
      <c r="AF18" s="71"/>
    </row>
    <row r="19" spans="1:32" ht="18" customHeight="1" thickTop="1">
      <c r="A19" s="646"/>
      <c r="B19" s="512"/>
      <c r="C19" s="467"/>
      <c r="D19" s="653"/>
      <c r="E19" s="532"/>
      <c r="F19" s="648"/>
      <c r="G19" s="532"/>
      <c r="H19" s="471"/>
      <c r="I19" s="448"/>
      <c r="J19" s="575"/>
      <c r="K19" s="575"/>
      <c r="L19" s="575"/>
      <c r="M19" s="575"/>
      <c r="N19" s="575"/>
      <c r="O19" s="448"/>
      <c r="P19" s="450"/>
      <c r="Q19" s="480"/>
      <c r="R19" s="456"/>
      <c r="S19" s="450"/>
      <c r="T19" s="477"/>
      <c r="U19" s="547"/>
      <c r="V19" s="232"/>
      <c r="W19" s="210"/>
      <c r="X19" s="210"/>
      <c r="Y19" s="210"/>
      <c r="Z19" s="210"/>
      <c r="AA19" s="210"/>
      <c r="AB19" s="210"/>
      <c r="AC19" s="194"/>
      <c r="AD19" s="395"/>
      <c r="AE19" s="347"/>
      <c r="AF19" s="71"/>
    </row>
    <row r="20" spans="1:32" ht="18" customHeight="1">
      <c r="A20" s="646"/>
      <c r="B20" s="512"/>
      <c r="C20" s="495" t="s">
        <v>19</v>
      </c>
      <c r="D20" s="654" t="s">
        <v>108</v>
      </c>
      <c r="E20" s="530"/>
      <c r="F20" s="608">
        <f>40*120</f>
        <v>4800</v>
      </c>
      <c r="G20" s="40"/>
      <c r="H20" s="27"/>
      <c r="I20" s="448"/>
      <c r="J20" s="474">
        <f>$F20*J$4</f>
        <v>2160</v>
      </c>
      <c r="K20" s="474">
        <f t="shared" ref="K20:N20" si="4">$F20*K$4</f>
        <v>1287.8399999999999</v>
      </c>
      <c r="L20" s="474">
        <f t="shared" si="4"/>
        <v>1285.92</v>
      </c>
      <c r="M20" s="474">
        <f t="shared" si="4"/>
        <v>66.239999999999995</v>
      </c>
      <c r="N20" s="474">
        <f t="shared" si="4"/>
        <v>35.520000000000003</v>
      </c>
      <c r="O20" s="448"/>
      <c r="P20" s="450"/>
      <c r="Q20" s="480"/>
      <c r="R20" s="456"/>
      <c r="S20" s="450"/>
      <c r="T20" s="477"/>
      <c r="U20" s="548"/>
      <c r="V20" s="232"/>
      <c r="W20" s="210"/>
      <c r="X20" s="210"/>
      <c r="Y20" s="210"/>
      <c r="Z20" s="210"/>
      <c r="AA20" s="210"/>
      <c r="AB20" s="210"/>
      <c r="AC20" s="194"/>
      <c r="AD20" s="395"/>
      <c r="AE20" s="347"/>
      <c r="AF20" s="71"/>
    </row>
    <row r="21" spans="1:32" ht="18" customHeight="1" thickBot="1">
      <c r="A21" s="646"/>
      <c r="B21" s="513"/>
      <c r="C21" s="451"/>
      <c r="D21" s="655"/>
      <c r="E21" s="650"/>
      <c r="F21" s="649"/>
      <c r="G21" s="22"/>
      <c r="H21" s="22"/>
      <c r="I21" s="492"/>
      <c r="J21" s="647"/>
      <c r="K21" s="647"/>
      <c r="L21" s="647"/>
      <c r="M21" s="647"/>
      <c r="N21" s="647"/>
      <c r="O21" s="492"/>
      <c r="P21" s="451"/>
      <c r="Q21" s="481"/>
      <c r="R21" s="457"/>
      <c r="S21" s="451"/>
      <c r="T21" s="478"/>
      <c r="U21" s="549"/>
      <c r="V21" s="234"/>
      <c r="W21" s="230"/>
      <c r="X21" s="230"/>
      <c r="Y21" s="213"/>
      <c r="Z21" s="213"/>
      <c r="AA21" s="213"/>
      <c r="AB21" s="230"/>
      <c r="AC21" s="235"/>
      <c r="AD21" s="191"/>
      <c r="AE21" s="347">
        <f>SUM(V18:AC21)+Q18</f>
        <v>24</v>
      </c>
      <c r="AF21" s="71"/>
    </row>
    <row r="22" spans="1:32" ht="18" customHeight="1" thickTop="1" thickBot="1">
      <c r="A22" s="646" t="s">
        <v>24</v>
      </c>
      <c r="B22" s="511">
        <v>42922</v>
      </c>
      <c r="C22" s="449" t="s">
        <v>16</v>
      </c>
      <c r="D22" s="652" t="s">
        <v>109</v>
      </c>
      <c r="E22" s="531"/>
      <c r="F22" s="607">
        <f>47*120</f>
        <v>5640</v>
      </c>
      <c r="G22" s="531"/>
      <c r="H22" s="470"/>
      <c r="I22" s="491"/>
      <c r="J22" s="625">
        <f>$F22*J4</f>
        <v>2538</v>
      </c>
      <c r="K22" s="625">
        <f t="shared" ref="K22:N22" si="5">$F22*K4</f>
        <v>1513.212</v>
      </c>
      <c r="L22" s="625">
        <f t="shared" si="5"/>
        <v>1510.9560000000001</v>
      </c>
      <c r="M22" s="625">
        <f t="shared" si="5"/>
        <v>77.831999999999994</v>
      </c>
      <c r="N22" s="625">
        <f t="shared" si="5"/>
        <v>41.736000000000004</v>
      </c>
      <c r="O22" s="491"/>
      <c r="P22" s="449">
        <f>SUM(E22:H25)</f>
        <v>10920</v>
      </c>
      <c r="Q22" s="482">
        <f>P22*R7/D5</f>
        <v>25.395348837209301</v>
      </c>
      <c r="R22" s="455">
        <f>Q22/R7</f>
        <v>1.0581395348837208</v>
      </c>
      <c r="S22" s="449">
        <f>D5-P22</f>
        <v>-600</v>
      </c>
      <c r="T22" s="485">
        <f>S22/D5</f>
        <v>-5.8139534883720929E-2</v>
      </c>
      <c r="U22" s="366"/>
      <c r="V22" s="254"/>
      <c r="W22" s="212"/>
      <c r="X22" s="212"/>
      <c r="Y22" s="212"/>
      <c r="Z22" s="212"/>
      <c r="AA22" s="212"/>
      <c r="AB22" s="212"/>
      <c r="AC22" s="196"/>
      <c r="AD22" s="189"/>
      <c r="AE22" s="347"/>
      <c r="AF22" s="71"/>
    </row>
    <row r="23" spans="1:32" ht="18" customHeight="1" thickTop="1">
      <c r="A23" s="646"/>
      <c r="B23" s="498"/>
      <c r="C23" s="467"/>
      <c r="D23" s="653"/>
      <c r="E23" s="532"/>
      <c r="F23" s="648"/>
      <c r="G23" s="532"/>
      <c r="H23" s="471"/>
      <c r="I23" s="448"/>
      <c r="J23" s="575"/>
      <c r="K23" s="575"/>
      <c r="L23" s="575"/>
      <c r="M23" s="575"/>
      <c r="N23" s="575"/>
      <c r="O23" s="448"/>
      <c r="P23" s="450"/>
      <c r="Q23" s="483"/>
      <c r="R23" s="456"/>
      <c r="S23" s="450"/>
      <c r="T23" s="486"/>
      <c r="U23" s="482">
        <f>Q22+Y23+Y25</f>
        <v>25.395348837209301</v>
      </c>
      <c r="V23" s="232"/>
      <c r="W23" s="210"/>
      <c r="X23" s="210"/>
      <c r="Y23" s="210"/>
      <c r="Z23" s="210"/>
      <c r="AA23" s="210"/>
      <c r="AB23" s="210"/>
      <c r="AC23" s="194"/>
      <c r="AD23" s="190"/>
      <c r="AE23" s="347"/>
      <c r="AF23" s="71"/>
    </row>
    <row r="24" spans="1:32" ht="18" customHeight="1">
      <c r="A24" s="646"/>
      <c r="B24" s="498"/>
      <c r="C24" s="495" t="s">
        <v>19</v>
      </c>
      <c r="D24" s="654" t="s">
        <v>108</v>
      </c>
      <c r="E24" s="530"/>
      <c r="F24" s="608">
        <f>44*120</f>
        <v>5280</v>
      </c>
      <c r="G24" s="40"/>
      <c r="H24" s="27"/>
      <c r="I24" s="448"/>
      <c r="J24" s="474">
        <f>$F24*J$4</f>
        <v>2376</v>
      </c>
      <c r="K24" s="474">
        <f t="shared" ref="K24:N24" si="6">$F24*K$4</f>
        <v>1416.6239999999998</v>
      </c>
      <c r="L24" s="474">
        <f t="shared" si="6"/>
        <v>1414.5120000000002</v>
      </c>
      <c r="M24" s="474">
        <f t="shared" si="6"/>
        <v>72.864000000000004</v>
      </c>
      <c r="N24" s="474">
        <f t="shared" si="6"/>
        <v>39.072000000000003</v>
      </c>
      <c r="O24" s="448"/>
      <c r="P24" s="450"/>
      <c r="Q24" s="483"/>
      <c r="R24" s="456"/>
      <c r="S24" s="450"/>
      <c r="T24" s="486"/>
      <c r="U24" s="483"/>
      <c r="V24" s="232"/>
      <c r="W24" s="210"/>
      <c r="X24" s="210"/>
      <c r="Y24" s="210"/>
      <c r="Z24" s="210"/>
      <c r="AA24" s="210"/>
      <c r="AB24" s="210"/>
      <c r="AC24" s="194"/>
      <c r="AD24" s="190"/>
      <c r="AE24" s="347"/>
      <c r="AF24" s="71"/>
    </row>
    <row r="25" spans="1:32" ht="18" customHeight="1" thickBot="1">
      <c r="A25" s="646"/>
      <c r="B25" s="498"/>
      <c r="C25" s="498"/>
      <c r="D25" s="655"/>
      <c r="E25" s="650"/>
      <c r="F25" s="649"/>
      <c r="G25" s="22"/>
      <c r="H25" s="22"/>
      <c r="I25" s="492"/>
      <c r="J25" s="647"/>
      <c r="K25" s="647"/>
      <c r="L25" s="647"/>
      <c r="M25" s="647"/>
      <c r="N25" s="647"/>
      <c r="O25" s="492"/>
      <c r="P25" s="450"/>
      <c r="Q25" s="483"/>
      <c r="R25" s="456"/>
      <c r="S25" s="450"/>
      <c r="T25" s="486"/>
      <c r="U25" s="483"/>
      <c r="V25" s="234"/>
      <c r="W25" s="230"/>
      <c r="X25" s="230"/>
      <c r="Y25" s="213"/>
      <c r="Z25" s="213"/>
      <c r="AA25" s="213"/>
      <c r="AB25" s="230"/>
      <c r="AC25" s="397"/>
      <c r="AD25" s="398"/>
      <c r="AE25" s="347">
        <f>SUM(V22:AC25)+Q22</f>
        <v>25.395348837209301</v>
      </c>
      <c r="AF25" s="71"/>
    </row>
    <row r="26" spans="1:32" ht="18" customHeight="1" thickTop="1" thickBot="1">
      <c r="A26" s="646" t="s">
        <v>25</v>
      </c>
      <c r="B26" s="511">
        <v>42923</v>
      </c>
      <c r="C26" s="449" t="s">
        <v>16</v>
      </c>
      <c r="D26" s="652" t="s">
        <v>109</v>
      </c>
      <c r="E26" s="531"/>
      <c r="F26" s="607">
        <f>46*120</f>
        <v>5520</v>
      </c>
      <c r="G26" s="531"/>
      <c r="H26" s="531"/>
      <c r="I26" s="21"/>
      <c r="J26" s="625">
        <f>$F26*J4</f>
        <v>2484</v>
      </c>
      <c r="K26" s="625">
        <f t="shared" ref="K26:N26" si="7">$F26*K4</f>
        <v>1481.0159999999998</v>
      </c>
      <c r="L26" s="625">
        <f t="shared" si="7"/>
        <v>1478.8080000000002</v>
      </c>
      <c r="M26" s="625">
        <f t="shared" si="7"/>
        <v>76.176000000000002</v>
      </c>
      <c r="N26" s="625">
        <f t="shared" si="7"/>
        <v>40.847999999999999</v>
      </c>
      <c r="O26" s="21"/>
      <c r="P26" s="449">
        <f>SUM(E26:H29)</f>
        <v>8760</v>
      </c>
      <c r="Q26" s="479">
        <f>P26*R7/D5</f>
        <v>20.372093023255815</v>
      </c>
      <c r="R26" s="455">
        <f>Q26/R7</f>
        <v>0.84883720930232565</v>
      </c>
      <c r="S26" s="449">
        <f>D5-P26</f>
        <v>1560</v>
      </c>
      <c r="T26" s="476">
        <f>S26/D5</f>
        <v>0.15116279069767441</v>
      </c>
      <c r="U26" s="365"/>
      <c r="V26" s="254"/>
      <c r="W26" s="212"/>
      <c r="X26" s="212"/>
      <c r="Y26" s="212"/>
      <c r="Z26" s="212"/>
      <c r="AA26" s="212"/>
      <c r="AB26" s="212"/>
      <c r="AC26" s="196"/>
      <c r="AD26" s="189"/>
      <c r="AE26" s="347"/>
      <c r="AF26" s="71"/>
    </row>
    <row r="27" spans="1:32" ht="18" customHeight="1" thickTop="1">
      <c r="A27" s="646"/>
      <c r="B27" s="512"/>
      <c r="C27" s="467"/>
      <c r="D27" s="653"/>
      <c r="E27" s="532"/>
      <c r="F27" s="648"/>
      <c r="G27" s="532"/>
      <c r="H27" s="532"/>
      <c r="I27" s="21"/>
      <c r="J27" s="575"/>
      <c r="K27" s="575"/>
      <c r="L27" s="575"/>
      <c r="M27" s="575"/>
      <c r="N27" s="575"/>
      <c r="O27" s="21"/>
      <c r="P27" s="450"/>
      <c r="Q27" s="480"/>
      <c r="R27" s="456"/>
      <c r="S27" s="450"/>
      <c r="T27" s="477"/>
      <c r="U27" s="479">
        <f>Y27+Y29+Q26</f>
        <v>20.372093023255815</v>
      </c>
      <c r="V27" s="232"/>
      <c r="W27" s="210"/>
      <c r="X27" s="210"/>
      <c r="Y27" s="210"/>
      <c r="Z27" s="415">
        <v>3.5</v>
      </c>
      <c r="AA27" s="412"/>
      <c r="AB27" s="412"/>
      <c r="AC27" s="413"/>
      <c r="AD27" s="414" t="s">
        <v>114</v>
      </c>
      <c r="AE27" s="347"/>
      <c r="AF27" s="71"/>
    </row>
    <row r="28" spans="1:32" ht="18" customHeight="1">
      <c r="A28" s="646"/>
      <c r="B28" s="512"/>
      <c r="C28" s="495" t="s">
        <v>19</v>
      </c>
      <c r="D28" s="654" t="s">
        <v>108</v>
      </c>
      <c r="E28" s="343"/>
      <c r="F28" s="651">
        <f>27*120</f>
        <v>3240</v>
      </c>
      <c r="G28" s="40"/>
      <c r="H28" s="40"/>
      <c r="I28" s="21"/>
      <c r="J28" s="474">
        <f>$F28*J$4</f>
        <v>1458</v>
      </c>
      <c r="K28" s="474">
        <f t="shared" ref="K28:N28" si="8">$F28*K$4</f>
        <v>869.29199999999992</v>
      </c>
      <c r="L28" s="474">
        <f t="shared" si="8"/>
        <v>867.99600000000009</v>
      </c>
      <c r="M28" s="474">
        <f t="shared" si="8"/>
        <v>44.711999999999996</v>
      </c>
      <c r="N28" s="474">
        <f t="shared" si="8"/>
        <v>23.976000000000003</v>
      </c>
      <c r="O28" s="21"/>
      <c r="P28" s="450"/>
      <c r="Q28" s="480"/>
      <c r="R28" s="456"/>
      <c r="S28" s="450"/>
      <c r="T28" s="477"/>
      <c r="U28" s="450"/>
      <c r="V28" s="232"/>
      <c r="W28" s="210"/>
      <c r="X28" s="210"/>
      <c r="Y28" s="210"/>
      <c r="Z28" s="210"/>
      <c r="AA28" s="210"/>
      <c r="AB28" s="210"/>
      <c r="AC28" s="194"/>
      <c r="AD28" s="282"/>
      <c r="AE28" s="347"/>
      <c r="AF28" s="71"/>
    </row>
    <row r="29" spans="1:32" ht="18" customHeight="1" thickBot="1">
      <c r="A29" s="646"/>
      <c r="B29" s="513"/>
      <c r="C29" s="451"/>
      <c r="D29" s="655"/>
      <c r="E29" s="297"/>
      <c r="F29" s="649"/>
      <c r="G29" s="22"/>
      <c r="H29" s="22"/>
      <c r="I29" s="23"/>
      <c r="J29" s="647"/>
      <c r="K29" s="647"/>
      <c r="L29" s="647"/>
      <c r="M29" s="647"/>
      <c r="N29" s="647"/>
      <c r="O29" s="23"/>
      <c r="P29" s="451"/>
      <c r="Q29" s="481"/>
      <c r="R29" s="457"/>
      <c r="S29" s="451"/>
      <c r="T29" s="478"/>
      <c r="U29" s="451"/>
      <c r="V29" s="234"/>
      <c r="W29" s="230"/>
      <c r="X29" s="230"/>
      <c r="Y29" s="213"/>
      <c r="Z29" s="213"/>
      <c r="AA29" s="213"/>
      <c r="AB29" s="230"/>
      <c r="AC29" s="235"/>
      <c r="AD29" s="191"/>
      <c r="AE29" s="203">
        <f>SUM(V26:AC29)+Q26</f>
        <v>23.872093023255815</v>
      </c>
      <c r="AF29" s="71"/>
    </row>
    <row r="30" spans="1:32" ht="19.5" customHeight="1" thickTop="1" thickBot="1">
      <c r="A30" s="646" t="s">
        <v>26</v>
      </c>
      <c r="B30" s="511">
        <v>42924</v>
      </c>
      <c r="C30" s="449" t="s">
        <v>16</v>
      </c>
      <c r="D30" s="652" t="s">
        <v>109</v>
      </c>
      <c r="E30" s="369"/>
      <c r="F30" s="588">
        <v>0</v>
      </c>
      <c r="G30" s="531"/>
      <c r="H30" s="531"/>
      <c r="I30" s="448"/>
      <c r="J30" s="625">
        <f>$F30*J4</f>
        <v>0</v>
      </c>
      <c r="K30" s="625">
        <f t="shared" ref="K30:N30" si="9">$F30*K4</f>
        <v>0</v>
      </c>
      <c r="L30" s="625">
        <f t="shared" si="9"/>
        <v>0</v>
      </c>
      <c r="M30" s="625">
        <f t="shared" si="9"/>
        <v>0</v>
      </c>
      <c r="N30" s="625">
        <f t="shared" si="9"/>
        <v>0</v>
      </c>
      <c r="O30" s="448"/>
      <c r="P30" s="449">
        <f>SUM(E30:H33)</f>
        <v>0</v>
      </c>
      <c r="Q30" s="502">
        <f>P30*R7/D5</f>
        <v>0</v>
      </c>
      <c r="R30" s="574">
        <f>Q30/R7</f>
        <v>0</v>
      </c>
      <c r="S30" s="449">
        <f>D5-P30</f>
        <v>10320</v>
      </c>
      <c r="T30" s="458">
        <f>S30/D5</f>
        <v>1</v>
      </c>
      <c r="U30" s="363"/>
      <c r="V30" s="254"/>
      <c r="W30" s="212"/>
      <c r="X30" s="212"/>
      <c r="Y30" s="212"/>
      <c r="Z30" s="212"/>
      <c r="AA30" s="212"/>
      <c r="AB30" s="212"/>
      <c r="AC30" s="196"/>
      <c r="AD30" s="189"/>
      <c r="AE30" s="347"/>
      <c r="AF30" s="71"/>
    </row>
    <row r="31" spans="1:32" ht="19.5" customHeight="1" thickTop="1">
      <c r="A31" s="646"/>
      <c r="B31" s="512"/>
      <c r="C31" s="467"/>
      <c r="D31" s="653"/>
      <c r="E31" s="369"/>
      <c r="F31" s="656"/>
      <c r="G31" s="532"/>
      <c r="H31" s="532"/>
      <c r="I31" s="448"/>
      <c r="J31" s="575"/>
      <c r="K31" s="575"/>
      <c r="L31" s="575"/>
      <c r="M31" s="575"/>
      <c r="N31" s="575"/>
      <c r="O31" s="448"/>
      <c r="P31" s="450"/>
      <c r="Q31" s="503"/>
      <c r="R31" s="573"/>
      <c r="S31" s="450"/>
      <c r="T31" s="459"/>
      <c r="U31" s="479">
        <f>Q30+Y32</f>
        <v>0</v>
      </c>
      <c r="V31" s="232"/>
      <c r="W31" s="210"/>
      <c r="X31" s="248"/>
      <c r="Y31" s="210"/>
      <c r="Z31" s="412">
        <v>24</v>
      </c>
      <c r="AA31" s="412"/>
      <c r="AB31" s="412"/>
      <c r="AC31" s="413"/>
      <c r="AD31" s="414" t="s">
        <v>114</v>
      </c>
      <c r="AE31" s="347"/>
      <c r="AF31" s="71"/>
    </row>
    <row r="32" spans="1:32" ht="19.5" customHeight="1">
      <c r="A32" s="646"/>
      <c r="B32" s="512"/>
      <c r="C32" s="495" t="s">
        <v>19</v>
      </c>
      <c r="D32" s="654" t="s">
        <v>108</v>
      </c>
      <c r="E32" s="530"/>
      <c r="F32" s="608">
        <v>0</v>
      </c>
      <c r="G32" s="40"/>
      <c r="H32" s="40"/>
      <c r="I32" s="21"/>
      <c r="J32" s="474">
        <f>$F32*J$4</f>
        <v>0</v>
      </c>
      <c r="K32" s="474">
        <f t="shared" ref="K32:N32" si="10">$F32*K$4</f>
        <v>0</v>
      </c>
      <c r="L32" s="474">
        <f t="shared" si="10"/>
        <v>0</v>
      </c>
      <c r="M32" s="474">
        <f t="shared" si="10"/>
        <v>0</v>
      </c>
      <c r="N32" s="474">
        <f t="shared" si="10"/>
        <v>0</v>
      </c>
      <c r="O32" s="21"/>
      <c r="P32" s="450"/>
      <c r="Q32" s="503"/>
      <c r="R32" s="573"/>
      <c r="S32" s="450"/>
      <c r="T32" s="459"/>
      <c r="U32" s="480"/>
      <c r="V32" s="232"/>
      <c r="W32" s="210"/>
      <c r="X32" s="210"/>
      <c r="Y32" s="210"/>
      <c r="Z32" s="210"/>
      <c r="AA32" s="210"/>
      <c r="AB32" s="210"/>
      <c r="AC32" s="194"/>
      <c r="AD32" s="282"/>
      <c r="AE32" s="347"/>
      <c r="AF32" s="71"/>
    </row>
    <row r="33" spans="1:32" ht="19.5" customHeight="1" thickBot="1">
      <c r="A33" s="646"/>
      <c r="B33" s="513"/>
      <c r="C33" s="451"/>
      <c r="D33" s="655"/>
      <c r="E33" s="650"/>
      <c r="F33" s="649"/>
      <c r="G33" s="22"/>
      <c r="H33" s="22"/>
      <c r="I33" s="21"/>
      <c r="J33" s="647"/>
      <c r="K33" s="647"/>
      <c r="L33" s="647"/>
      <c r="M33" s="647"/>
      <c r="N33" s="647"/>
      <c r="O33" s="21"/>
      <c r="P33" s="451"/>
      <c r="Q33" s="504"/>
      <c r="R33" s="554"/>
      <c r="S33" s="451"/>
      <c r="T33" s="460"/>
      <c r="U33" s="481"/>
      <c r="V33" s="234"/>
      <c r="W33" s="230"/>
      <c r="X33" s="230"/>
      <c r="Y33" s="213"/>
      <c r="Z33" s="213"/>
      <c r="AA33" s="213"/>
      <c r="AB33" s="230"/>
      <c r="AC33" s="235"/>
      <c r="AD33" s="191"/>
      <c r="AE33" s="347">
        <f>SUM(V30:AC33)+Q30</f>
        <v>24</v>
      </c>
      <c r="AF33" s="71"/>
    </row>
    <row r="34" spans="1:32" ht="19.5" customHeight="1" thickTop="1" thickBot="1">
      <c r="A34" s="646" t="s">
        <v>28</v>
      </c>
      <c r="B34" s="521">
        <v>42925</v>
      </c>
      <c r="C34" s="544" t="s">
        <v>16</v>
      </c>
      <c r="D34" s="652" t="s">
        <v>109</v>
      </c>
      <c r="E34" s="531"/>
      <c r="F34" s="607">
        <v>0</v>
      </c>
      <c r="G34" s="531"/>
      <c r="H34" s="531"/>
      <c r="I34" s="21"/>
      <c r="J34" s="625">
        <f>$F34*J$4</f>
        <v>0</v>
      </c>
      <c r="K34" s="625">
        <f t="shared" ref="K34:N34" si="11">$F34*K$4</f>
        <v>0</v>
      </c>
      <c r="L34" s="625">
        <f t="shared" si="11"/>
        <v>0</v>
      </c>
      <c r="M34" s="625">
        <f t="shared" si="11"/>
        <v>0</v>
      </c>
      <c r="N34" s="625">
        <f t="shared" si="11"/>
        <v>0</v>
      </c>
      <c r="O34" s="21"/>
      <c r="P34" s="449">
        <f>G34</f>
        <v>0</v>
      </c>
      <c r="Q34" s="638">
        <f>P34*R6/D6</f>
        <v>0</v>
      </c>
      <c r="R34" s="574">
        <f>Q34/R6</f>
        <v>0</v>
      </c>
      <c r="S34" s="544">
        <f>D5-P34</f>
        <v>10320</v>
      </c>
      <c r="T34" s="565">
        <f>+S34/D5</f>
        <v>1</v>
      </c>
      <c r="U34" s="161"/>
      <c r="V34" s="254"/>
      <c r="W34" s="212"/>
      <c r="X34" s="212"/>
      <c r="Y34" s="212"/>
      <c r="Z34" s="212"/>
      <c r="AA34" s="212"/>
      <c r="AB34" s="212"/>
      <c r="AC34" s="196"/>
      <c r="AD34" s="189"/>
      <c r="AE34" s="347"/>
      <c r="AF34" s="71"/>
    </row>
    <row r="35" spans="1:32" ht="19.5" customHeight="1" thickTop="1">
      <c r="A35" s="646"/>
      <c r="B35" s="593"/>
      <c r="C35" s="594"/>
      <c r="D35" s="653"/>
      <c r="E35" s="532"/>
      <c r="F35" s="608"/>
      <c r="G35" s="532"/>
      <c r="H35" s="532"/>
      <c r="I35" s="25"/>
      <c r="J35" s="575"/>
      <c r="K35" s="575"/>
      <c r="L35" s="575"/>
      <c r="M35" s="575"/>
      <c r="N35" s="575"/>
      <c r="O35" s="25"/>
      <c r="P35" s="450"/>
      <c r="Q35" s="639"/>
      <c r="R35" s="573"/>
      <c r="S35" s="590"/>
      <c r="T35" s="591"/>
      <c r="U35" s="49"/>
      <c r="V35" s="232"/>
      <c r="W35" s="210"/>
      <c r="X35" s="210"/>
      <c r="Y35" s="210"/>
      <c r="Z35" s="412">
        <v>12</v>
      </c>
      <c r="AA35" s="412"/>
      <c r="AB35" s="412"/>
      <c r="AC35" s="413"/>
      <c r="AD35" s="414" t="s">
        <v>114</v>
      </c>
      <c r="AE35" s="347"/>
      <c r="AF35" s="71"/>
    </row>
    <row r="36" spans="1:32" ht="20.25" customHeight="1">
      <c r="A36" s="646"/>
      <c r="B36" s="593"/>
      <c r="C36" s="592" t="s">
        <v>19</v>
      </c>
      <c r="D36" s="602" t="s">
        <v>17</v>
      </c>
      <c r="E36" s="40"/>
      <c r="F36" s="40"/>
      <c r="G36" s="40"/>
      <c r="H36" s="40"/>
      <c r="I36" s="21"/>
      <c r="J36" s="570">
        <f>$F36*J$4</f>
        <v>0</v>
      </c>
      <c r="K36" s="570">
        <f>$F36*K$4</f>
        <v>0</v>
      </c>
      <c r="L36" s="570">
        <f>$F36*L$4</f>
        <v>0</v>
      </c>
      <c r="M36" s="570">
        <f>$F36*M$4</f>
        <v>0</v>
      </c>
      <c r="N36" s="570">
        <f>$F36*N$4</f>
        <v>0</v>
      </c>
      <c r="O36" s="21"/>
      <c r="P36" s="450"/>
      <c r="Q36" s="639"/>
      <c r="R36" s="573"/>
      <c r="S36" s="590"/>
      <c r="T36" s="591"/>
      <c r="U36" s="163"/>
      <c r="V36" s="232"/>
      <c r="W36" s="210"/>
      <c r="X36" s="210"/>
      <c r="Y36" s="210"/>
      <c r="Z36" s="210"/>
      <c r="AA36" s="210"/>
      <c r="AB36" s="210"/>
      <c r="AC36" s="194"/>
      <c r="AD36" s="282"/>
      <c r="AE36" s="347"/>
      <c r="AF36" s="71"/>
    </row>
    <row r="37" spans="1:32" ht="20.25" customHeight="1" thickBot="1">
      <c r="A37" s="646"/>
      <c r="B37" s="522"/>
      <c r="C37" s="545"/>
      <c r="D37" s="603"/>
      <c r="E37" s="22"/>
      <c r="F37" s="22"/>
      <c r="G37" s="22"/>
      <c r="H37" s="22"/>
      <c r="I37" s="23"/>
      <c r="J37" s="585"/>
      <c r="K37" s="585"/>
      <c r="L37" s="585"/>
      <c r="M37" s="585"/>
      <c r="N37" s="585"/>
      <c r="O37" s="23"/>
      <c r="P37" s="451"/>
      <c r="Q37" s="640"/>
      <c r="R37" s="554"/>
      <c r="S37" s="545"/>
      <c r="T37" s="566"/>
      <c r="U37" s="54"/>
      <c r="V37" s="234"/>
      <c r="W37" s="230"/>
      <c r="X37" s="230"/>
      <c r="Y37" s="213"/>
      <c r="Z37" s="213"/>
      <c r="AA37" s="213"/>
      <c r="AB37" s="230"/>
      <c r="AC37" s="235"/>
      <c r="AD37" s="191"/>
      <c r="AE37" s="347">
        <f>SUM(V34:AC37)+Q34</f>
        <v>12</v>
      </c>
      <c r="AF37" s="71"/>
    </row>
    <row r="38" spans="1:32" ht="15.75" customHeight="1" thickTop="1">
      <c r="B38" s="516" t="s">
        <v>36</v>
      </c>
      <c r="C38" s="516"/>
      <c r="D38" s="516"/>
      <c r="J38" s="632">
        <f>SUM(J10:J37)</f>
        <v>14148</v>
      </c>
      <c r="K38" s="514">
        <f>SUM(K10:K37)</f>
        <v>8435.351999999999</v>
      </c>
      <c r="L38" s="514">
        <f>SUM(L10:L37)</f>
        <v>8422.7760000000017</v>
      </c>
      <c r="M38" s="514">
        <f>SUM(M10:M37)</f>
        <v>433.87200000000001</v>
      </c>
      <c r="N38" s="514">
        <f>SUM(N10:N37)</f>
        <v>232.65600000000001</v>
      </c>
      <c r="Q38" s="83"/>
      <c r="AD38" s="192"/>
    </row>
    <row r="39" spans="1:32" ht="21" customHeight="1">
      <c r="B39" s="635"/>
      <c r="C39" s="635"/>
      <c r="D39" s="635"/>
      <c r="E39" s="59">
        <f>SUM(E11:E37)</f>
        <v>0</v>
      </c>
      <c r="F39" s="60">
        <f>SUM(F10:F36)</f>
        <v>31440</v>
      </c>
      <c r="G39" s="61">
        <f>SUM(G11:G37)</f>
        <v>0</v>
      </c>
      <c r="H39" s="62">
        <f>SUM(H11:H37)</f>
        <v>0</v>
      </c>
      <c r="I39" s="55"/>
      <c r="J39" s="633"/>
      <c r="K39" s="515"/>
      <c r="L39" s="515"/>
      <c r="M39" s="515"/>
      <c r="N39" s="515"/>
      <c r="O39" s="55">
        <f>SUM(O11:O37)</f>
        <v>0</v>
      </c>
      <c r="Q39" s="80">
        <f>SUM(Q10:Q37)</f>
        <v>73.116279069767444</v>
      </c>
      <c r="R39" s="80"/>
      <c r="S39" s="80"/>
      <c r="T39" s="81" t="s">
        <v>35</v>
      </c>
      <c r="U39" s="80">
        <f t="shared" ref="U39:AC39" si="12">SUM(U10:U37)</f>
        <v>49.116279069767444</v>
      </c>
      <c r="V39" s="80">
        <f t="shared" si="12"/>
        <v>2</v>
      </c>
      <c r="W39" s="80">
        <f t="shared" si="12"/>
        <v>0</v>
      </c>
      <c r="X39" s="379">
        <f t="shared" si="12"/>
        <v>0</v>
      </c>
      <c r="Y39" s="80">
        <f t="shared" si="12"/>
        <v>0</v>
      </c>
      <c r="Z39" s="80">
        <f t="shared" si="12"/>
        <v>39.5</v>
      </c>
      <c r="AA39" s="80">
        <f t="shared" si="12"/>
        <v>0</v>
      </c>
      <c r="AB39" s="80">
        <f t="shared" si="12"/>
        <v>30.75</v>
      </c>
      <c r="AC39" s="80">
        <f t="shared" si="12"/>
        <v>0</v>
      </c>
      <c r="AD39" s="55" t="s">
        <v>29</v>
      </c>
      <c r="AE39" s="321"/>
    </row>
    <row r="40" spans="1:32" ht="23.25">
      <c r="C40" s="56" t="s">
        <v>30</v>
      </c>
      <c r="D40" s="57"/>
      <c r="E40" s="595">
        <f>E39+F39+G39+H39</f>
        <v>31440</v>
      </c>
      <c r="F40" s="595"/>
      <c r="G40" s="595"/>
      <c r="H40" s="595"/>
      <c r="Q40" s="264"/>
      <c r="R40" s="245"/>
      <c r="S40" s="262"/>
      <c r="U40" s="78"/>
      <c r="V40" s="78"/>
      <c r="W40" s="78"/>
      <c r="X40" s="173"/>
      <c r="Y40" s="164"/>
      <c r="Z40" s="164"/>
      <c r="AA40" s="164"/>
      <c r="AB40" s="164"/>
      <c r="AC40" s="164"/>
      <c r="AD40" s="267"/>
    </row>
    <row r="41" spans="1:32" ht="18.75" customHeight="1">
      <c r="Q41" s="76" t="s">
        <v>34</v>
      </c>
      <c r="S41" s="599">
        <f>J45*J46*J47</f>
        <v>0.4982638888888889</v>
      </c>
      <c r="T41" s="599"/>
    </row>
    <row r="42" spans="1:32" ht="23.25">
      <c r="R42" s="76" t="s">
        <v>33</v>
      </c>
      <c r="U42" s="75">
        <f>V39/E3</f>
        <v>1.1904761904761904E-2</v>
      </c>
      <c r="V42" s="370">
        <f t="shared" ref="V42:AC42" si="13">V39/$E$4</f>
        <v>1.3888888888888888E-2</v>
      </c>
      <c r="W42" s="371">
        <f t="shared" si="13"/>
        <v>0</v>
      </c>
      <c r="X42" s="372">
        <f t="shared" si="13"/>
        <v>0</v>
      </c>
      <c r="Y42" s="373">
        <f t="shared" si="13"/>
        <v>0</v>
      </c>
      <c r="Z42" s="374">
        <f t="shared" si="13"/>
        <v>0.27430555555555558</v>
      </c>
      <c r="AA42" s="375">
        <f t="shared" si="13"/>
        <v>0</v>
      </c>
      <c r="AB42" s="376">
        <f t="shared" si="13"/>
        <v>0.21354166666666666</v>
      </c>
      <c r="AC42" s="377">
        <f t="shared" si="13"/>
        <v>0</v>
      </c>
    </row>
    <row r="43" spans="1:32">
      <c r="E43" s="72"/>
      <c r="G43" s="598"/>
      <c r="H43" s="5"/>
    </row>
    <row r="44" spans="1:32">
      <c r="E44" s="72"/>
      <c r="G44" s="598"/>
      <c r="H44" s="5"/>
    </row>
    <row r="45" spans="1:32">
      <c r="D45" s="72" t="s">
        <v>103</v>
      </c>
      <c r="E45">
        <v>144</v>
      </c>
      <c r="G45" s="180" t="s">
        <v>70</v>
      </c>
      <c r="J45" s="176">
        <f>+E46/E45</f>
        <v>1</v>
      </c>
      <c r="M45"/>
      <c r="T45" s="596"/>
      <c r="U45" s="596"/>
      <c r="V45" s="596"/>
      <c r="Z45" s="368"/>
    </row>
    <row r="46" spans="1:32">
      <c r="D46" s="72" t="s">
        <v>69</v>
      </c>
      <c r="E46" s="71">
        <f>E45-W39</f>
        <v>144</v>
      </c>
      <c r="G46" s="180" t="s">
        <v>71</v>
      </c>
      <c r="J46" s="176">
        <f>+E47/E46</f>
        <v>0.4982638888888889</v>
      </c>
      <c r="M46"/>
      <c r="T46" s="597"/>
      <c r="U46" s="597"/>
      <c r="V46" s="597"/>
      <c r="AD46" s="367"/>
    </row>
    <row r="47" spans="1:32">
      <c r="D47" s="72" t="s">
        <v>68</v>
      </c>
      <c r="E47" s="378">
        <f>+E46-Z39-AA39-V39-Y39-AB39-AC39</f>
        <v>71.75</v>
      </c>
      <c r="G47" s="180" t="s">
        <v>104</v>
      </c>
      <c r="J47" s="176">
        <f>+E48/E47</f>
        <v>1</v>
      </c>
      <c r="L47"/>
      <c r="M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32">
      <c r="D48" s="72" t="s">
        <v>72</v>
      </c>
      <c r="E48" s="378">
        <f>E47-X39</f>
        <v>71.75</v>
      </c>
      <c r="L48" s="69"/>
      <c r="M48" s="177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4" customFormat="1">
      <c r="A49" s="384"/>
      <c r="G49" s="180"/>
      <c r="H49" s="67"/>
      <c r="I49"/>
      <c r="J49"/>
      <c r="K49" s="66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4" customFormat="1">
      <c r="A50" s="384"/>
      <c r="G50"/>
      <c r="H50" s="67"/>
      <c r="I50"/>
      <c r="J50"/>
      <c r="K50" s="66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4" customFormat="1">
      <c r="A51" s="384"/>
      <c r="G51"/>
      <c r="H51" s="66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4" customFormat="1">
      <c r="A52" s="384"/>
      <c r="G52"/>
      <c r="H52"/>
      <c r="I52"/>
      <c r="J52"/>
      <c r="K52" s="5"/>
      <c r="L52" s="73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4" customFormat="1">
      <c r="A53" s="384"/>
      <c r="G53"/>
      <c r="H53"/>
      <c r="I53"/>
      <c r="J53"/>
      <c r="K53" s="5"/>
      <c r="L53" s="5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s="4" customFormat="1">
      <c r="A54" s="384"/>
      <c r="G54"/>
      <c r="H54"/>
      <c r="I54"/>
      <c r="J54"/>
      <c r="K54" s="5"/>
      <c r="L54" s="341"/>
      <c r="M54" s="5"/>
      <c r="N54"/>
      <c r="O54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4" customFormat="1" ht="18">
      <c r="A55" s="384"/>
      <c r="G55"/>
      <c r="H55" s="58"/>
      <c r="I55"/>
      <c r="J55" s="5"/>
      <c r="K55" s="5"/>
      <c r="L55" s="340"/>
      <c r="M55" s="5"/>
      <c r="N55"/>
      <c r="O5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4" customFormat="1">
      <c r="A56" s="384"/>
      <c r="G56"/>
      <c r="H56"/>
      <c r="I56"/>
      <c r="J56" s="5"/>
      <c r="K56" s="5"/>
      <c r="L56" s="178"/>
      <c r="M56" s="5"/>
      <c r="N56"/>
      <c r="O56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4" customFormat="1" ht="18">
      <c r="A57" s="384"/>
      <c r="G57"/>
      <c r="H57" s="58"/>
      <c r="I57"/>
      <c r="J57" s="5"/>
      <c r="K57" s="5"/>
      <c r="L57" s="5"/>
      <c r="M57" s="5"/>
      <c r="N57"/>
      <c r="O57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</sheetData>
  <mergeCells count="218">
    <mergeCell ref="V8:AC8"/>
    <mergeCell ref="B8:B9"/>
    <mergeCell ref="C8:C9"/>
    <mergeCell ref="D8:D9"/>
    <mergeCell ref="E8:H8"/>
    <mergeCell ref="I8:I9"/>
    <mergeCell ref="J8:N8"/>
    <mergeCell ref="O8:O9"/>
    <mergeCell ref="R8:R9"/>
    <mergeCell ref="S8:T8"/>
    <mergeCell ref="G3:H3"/>
    <mergeCell ref="G4:H4"/>
    <mergeCell ref="G5:H5"/>
    <mergeCell ref="G6:H6"/>
    <mergeCell ref="T10:T13"/>
    <mergeCell ref="U11:U13"/>
    <mergeCell ref="C12:C13"/>
    <mergeCell ref="D12:D13"/>
    <mergeCell ref="S10:S13"/>
    <mergeCell ref="F12:F13"/>
    <mergeCell ref="J12:J13"/>
    <mergeCell ref="K12:K13"/>
    <mergeCell ref="L12:L13"/>
    <mergeCell ref="M12:M13"/>
    <mergeCell ref="N12:N13"/>
    <mergeCell ref="A14:A17"/>
    <mergeCell ref="B14:B17"/>
    <mergeCell ref="C14:C15"/>
    <mergeCell ref="D14:D15"/>
    <mergeCell ref="M10:M11"/>
    <mergeCell ref="N10:N11"/>
    <mergeCell ref="P10:P13"/>
    <mergeCell ref="Q10:Q13"/>
    <mergeCell ref="R10:R13"/>
    <mergeCell ref="A10:A13"/>
    <mergeCell ref="B10:B13"/>
    <mergeCell ref="C10:C11"/>
    <mergeCell ref="J10:J11"/>
    <mergeCell ref="K10:K11"/>
    <mergeCell ref="L10:L11"/>
    <mergeCell ref="I14:I17"/>
    <mergeCell ref="J14:J15"/>
    <mergeCell ref="K14:K15"/>
    <mergeCell ref="L14:L15"/>
    <mergeCell ref="M14:M15"/>
    <mergeCell ref="N14:N15"/>
    <mergeCell ref="J16:J17"/>
    <mergeCell ref="K16:K17"/>
    <mergeCell ref="L16:L17"/>
    <mergeCell ref="U19:U21"/>
    <mergeCell ref="C20:C21"/>
    <mergeCell ref="D20:D21"/>
    <mergeCell ref="J20:J21"/>
    <mergeCell ref="K20:K21"/>
    <mergeCell ref="U15:U17"/>
    <mergeCell ref="C16:C17"/>
    <mergeCell ref="D16:D17"/>
    <mergeCell ref="A18:A21"/>
    <mergeCell ref="B18:B21"/>
    <mergeCell ref="C18:C19"/>
    <mergeCell ref="D18:D19"/>
    <mergeCell ref="O18:O21"/>
    <mergeCell ref="P18:P21"/>
    <mergeCell ref="O14:O17"/>
    <mergeCell ref="P14:P17"/>
    <mergeCell ref="Q14:Q17"/>
    <mergeCell ref="R14:R17"/>
    <mergeCell ref="S14:S17"/>
    <mergeCell ref="T14:T17"/>
    <mergeCell ref="E14:E15"/>
    <mergeCell ref="F14:F15"/>
    <mergeCell ref="G14:G15"/>
    <mergeCell ref="H14:H15"/>
    <mergeCell ref="A22:A25"/>
    <mergeCell ref="B22:B25"/>
    <mergeCell ref="C22:C23"/>
    <mergeCell ref="D22:D23"/>
    <mergeCell ref="E22:E23"/>
    <mergeCell ref="F22:F23"/>
    <mergeCell ref="G22:G23"/>
    <mergeCell ref="Q18:Q21"/>
    <mergeCell ref="R18:R21"/>
    <mergeCell ref="A26:A29"/>
    <mergeCell ref="B26:B29"/>
    <mergeCell ref="C26:C27"/>
    <mergeCell ref="D26:D27"/>
    <mergeCell ref="E26:E27"/>
    <mergeCell ref="F26:F27"/>
    <mergeCell ref="T22:T25"/>
    <mergeCell ref="U23:U25"/>
    <mergeCell ref="C24:C25"/>
    <mergeCell ref="D24:D25"/>
    <mergeCell ref="J24:J25"/>
    <mergeCell ref="K24:K25"/>
    <mergeCell ref="L24:L25"/>
    <mergeCell ref="M24:M25"/>
    <mergeCell ref="N24:N25"/>
    <mergeCell ref="N22:N23"/>
    <mergeCell ref="O22:O25"/>
    <mergeCell ref="P22:P25"/>
    <mergeCell ref="Q22:Q25"/>
    <mergeCell ref="R22:R25"/>
    <mergeCell ref="S22:S25"/>
    <mergeCell ref="H22:H23"/>
    <mergeCell ref="I22:I25"/>
    <mergeCell ref="J22:J23"/>
    <mergeCell ref="U27:U29"/>
    <mergeCell ref="C28:C29"/>
    <mergeCell ref="D28:D29"/>
    <mergeCell ref="J28:J29"/>
    <mergeCell ref="K28:K29"/>
    <mergeCell ref="L28:L29"/>
    <mergeCell ref="M28:M29"/>
    <mergeCell ref="N26:N27"/>
    <mergeCell ref="P26:P29"/>
    <mergeCell ref="Q26:Q29"/>
    <mergeCell ref="R26:R29"/>
    <mergeCell ref="S26:S29"/>
    <mergeCell ref="T26:T29"/>
    <mergeCell ref="G26:G27"/>
    <mergeCell ref="H26:H27"/>
    <mergeCell ref="J26:J27"/>
    <mergeCell ref="K26:K27"/>
    <mergeCell ref="L26:L27"/>
    <mergeCell ref="M26:M27"/>
    <mergeCell ref="U31:U33"/>
    <mergeCell ref="C32:C33"/>
    <mergeCell ref="D32:D33"/>
    <mergeCell ref="J32:J33"/>
    <mergeCell ref="K32:K33"/>
    <mergeCell ref="L32:L33"/>
    <mergeCell ref="M32:M33"/>
    <mergeCell ref="N32:N33"/>
    <mergeCell ref="N30:N31"/>
    <mergeCell ref="O30:O31"/>
    <mergeCell ref="P30:P33"/>
    <mergeCell ref="Q30:Q33"/>
    <mergeCell ref="R30:R33"/>
    <mergeCell ref="S30:S33"/>
    <mergeCell ref="H30:H31"/>
    <mergeCell ref="I30:I31"/>
    <mergeCell ref="J30:J31"/>
    <mergeCell ref="K30:K31"/>
    <mergeCell ref="L30:L31"/>
    <mergeCell ref="M30:M31"/>
    <mergeCell ref="C30:C31"/>
    <mergeCell ref="D30:D31"/>
    <mergeCell ref="F30:F31"/>
    <mergeCell ref="G30:G31"/>
    <mergeCell ref="A34:A37"/>
    <mergeCell ref="B34:B37"/>
    <mergeCell ref="C34:C35"/>
    <mergeCell ref="D34:D35"/>
    <mergeCell ref="E34:E35"/>
    <mergeCell ref="F34:F35"/>
    <mergeCell ref="C36:C37"/>
    <mergeCell ref="D36:D37"/>
    <mergeCell ref="T30:T33"/>
    <mergeCell ref="A30:A33"/>
    <mergeCell ref="B30:B33"/>
    <mergeCell ref="F32:F33"/>
    <mergeCell ref="E32:E33"/>
    <mergeCell ref="G43:G44"/>
    <mergeCell ref="T45:V45"/>
    <mergeCell ref="T46:V46"/>
    <mergeCell ref="J36:J37"/>
    <mergeCell ref="K36:K37"/>
    <mergeCell ref="L36:L37"/>
    <mergeCell ref="M36:M37"/>
    <mergeCell ref="N36:N37"/>
    <mergeCell ref="B38:D39"/>
    <mergeCell ref="J38:J39"/>
    <mergeCell ref="K38:K39"/>
    <mergeCell ref="L38:L39"/>
    <mergeCell ref="M38:M39"/>
    <mergeCell ref="P34:P37"/>
    <mergeCell ref="Q34:Q37"/>
    <mergeCell ref="R34:R37"/>
    <mergeCell ref="S34:S37"/>
    <mergeCell ref="T34:T37"/>
    <mergeCell ref="G34:G35"/>
    <mergeCell ref="H34:H35"/>
    <mergeCell ref="J34:J35"/>
    <mergeCell ref="K34:K35"/>
    <mergeCell ref="L34:L35"/>
    <mergeCell ref="M34:M35"/>
    <mergeCell ref="N38:N39"/>
    <mergeCell ref="E40:H40"/>
    <mergeCell ref="S41:T41"/>
    <mergeCell ref="N34:N35"/>
    <mergeCell ref="K22:K23"/>
    <mergeCell ref="L22:L23"/>
    <mergeCell ref="M22:M23"/>
    <mergeCell ref="L20:L21"/>
    <mergeCell ref="M20:M21"/>
    <mergeCell ref="N20:N21"/>
    <mergeCell ref="S18:S21"/>
    <mergeCell ref="T18:T21"/>
    <mergeCell ref="F24:F25"/>
    <mergeCell ref="N28:N29"/>
    <mergeCell ref="F28:F29"/>
    <mergeCell ref="E24:E25"/>
    <mergeCell ref="M16:M17"/>
    <mergeCell ref="N16:N17"/>
    <mergeCell ref="K18:K19"/>
    <mergeCell ref="L18:L19"/>
    <mergeCell ref="M18:M19"/>
    <mergeCell ref="N18:N19"/>
    <mergeCell ref="E18:E19"/>
    <mergeCell ref="F18:F19"/>
    <mergeCell ref="G18:G19"/>
    <mergeCell ref="H18:H19"/>
    <mergeCell ref="I18:I21"/>
    <mergeCell ref="J18:J19"/>
    <mergeCell ref="F20:F21"/>
    <mergeCell ref="E20:E21"/>
    <mergeCell ref="F16:F17"/>
    <mergeCell ref="E16:E17"/>
  </mergeCells>
  <pageMargins left="0.7" right="0.7" top="0.75" bottom="0.75" header="0.3" footer="0.3"/>
  <pageSetup paperSize="9" orientation="portrait" horizontalDpi="0" verticalDpi="0" r:id="rId1"/>
  <ignoredErrors>
    <ignoredError sqref="F24 J22:N2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AE57"/>
  <sheetViews>
    <sheetView showGridLines="0" topLeftCell="C1" zoomScale="80" zoomScaleNormal="80" workbookViewId="0">
      <pane ySplit="9" topLeftCell="A34" activePane="bottomLeft" state="frozen"/>
      <selection activeCell="C1" sqref="C1"/>
      <selection pane="bottomLeft" activeCell="E47" sqref="E47"/>
    </sheetView>
  </sheetViews>
  <sheetFormatPr baseColWidth="10" defaultRowHeight="15"/>
  <cols>
    <col min="1" max="1" width="6" customWidth="1"/>
    <col min="2" max="2" width="10.28515625" customWidth="1"/>
    <col min="4" max="4" width="15" customWidth="1"/>
    <col min="5" max="7" width="8.5703125" customWidth="1"/>
    <col min="8" max="8" width="9.5703125" customWidth="1"/>
    <col min="9" max="9" width="1.140625" customWidth="1"/>
    <col min="10" max="13" width="9.28515625" style="5" customWidth="1"/>
    <col min="14" max="14" width="9.28515625" customWidth="1"/>
    <col min="15" max="15" width="1.140625" customWidth="1"/>
    <col min="16" max="16" width="8.85546875" style="3" customWidth="1"/>
    <col min="17" max="17" width="9" style="3" customWidth="1"/>
    <col min="18" max="20" width="9.5703125" style="3" customWidth="1"/>
    <col min="21" max="21" width="9" style="3" hidden="1" customWidth="1"/>
    <col min="22" max="28" width="8.42578125" style="3" customWidth="1"/>
    <col min="29" max="29" width="9" style="3" customWidth="1"/>
    <col min="30" max="30" width="39.85546875" style="4" customWidth="1"/>
    <col min="31" max="31" width="11.42578125" style="202"/>
  </cols>
  <sheetData>
    <row r="1" spans="1:31" ht="65.25" customHeight="1">
      <c r="L1"/>
      <c r="M1"/>
      <c r="P1" s="628" t="s">
        <v>110</v>
      </c>
      <c r="Q1" s="628"/>
      <c r="R1" s="628"/>
      <c r="S1" s="628"/>
      <c r="T1" s="628"/>
      <c r="U1" s="628"/>
      <c r="V1" s="628"/>
      <c r="W1" s="628"/>
    </row>
    <row r="2" spans="1:31">
      <c r="J2" s="5" t="str">
        <f>J9</f>
        <v>Résine</v>
      </c>
      <c r="K2" s="5" t="str">
        <f>K9</f>
        <v xml:space="preserve">Charge </v>
      </c>
      <c r="L2" t="str">
        <f>L9</f>
        <v>DOP</v>
      </c>
      <c r="M2" t="str">
        <f>M9</f>
        <v>Stab.</v>
      </c>
      <c r="N2" s="5" t="s">
        <v>14</v>
      </c>
      <c r="O2" s="135"/>
      <c r="Q2" s="134"/>
      <c r="S2" s="128"/>
      <c r="T2" s="128"/>
      <c r="U2" s="134"/>
      <c r="V2" s="134"/>
      <c r="W2" s="134"/>
      <c r="X2" s="134"/>
      <c r="Y2" s="134"/>
      <c r="Z2" s="134"/>
      <c r="AA2" s="134"/>
      <c r="AB2" s="134"/>
      <c r="AC2" s="134"/>
    </row>
    <row r="3" spans="1:31" ht="15.75" customHeight="1">
      <c r="B3" t="s">
        <v>67</v>
      </c>
      <c r="D3" s="170" t="s">
        <v>64</v>
      </c>
      <c r="E3" s="171">
        <v>168</v>
      </c>
      <c r="F3" t="s">
        <v>66</v>
      </c>
      <c r="G3" s="537" t="str">
        <f>E9</f>
        <v>PVC Isolat°</v>
      </c>
      <c r="H3" s="537"/>
      <c r="I3" s="133"/>
      <c r="J3" s="1">
        <v>0.46</v>
      </c>
      <c r="K3" s="2">
        <v>0.30620000000000003</v>
      </c>
      <c r="L3" s="2">
        <v>0.22</v>
      </c>
      <c r="M3" s="2">
        <v>1.38E-2</v>
      </c>
      <c r="N3" s="6"/>
      <c r="O3" s="11"/>
      <c r="P3" s="77"/>
      <c r="Q3" s="132"/>
      <c r="R3" s="7"/>
      <c r="S3" s="128"/>
      <c r="T3" s="128"/>
      <c r="U3" s="132"/>
      <c r="V3" s="132"/>
      <c r="W3" s="132"/>
      <c r="X3" s="132"/>
      <c r="Y3" s="132"/>
      <c r="Z3" s="132"/>
      <c r="AA3" s="132"/>
      <c r="AB3" s="132"/>
      <c r="AC3" s="132"/>
    </row>
    <row r="4" spans="1:31" ht="15.75" customHeight="1">
      <c r="B4" t="s">
        <v>63</v>
      </c>
      <c r="D4" s="170" t="s">
        <v>65</v>
      </c>
      <c r="E4">
        <v>144</v>
      </c>
      <c r="F4" t="s">
        <v>66</v>
      </c>
      <c r="G4" s="538" t="str">
        <f>F9</f>
        <v>PVC Gris</v>
      </c>
      <c r="H4" s="538"/>
      <c r="I4" s="131"/>
      <c r="J4" s="8">
        <v>0.45</v>
      </c>
      <c r="K4" s="8">
        <v>0.26829999999999998</v>
      </c>
      <c r="L4" s="8">
        <v>0.26790000000000003</v>
      </c>
      <c r="M4" s="8">
        <v>1.38E-2</v>
      </c>
      <c r="N4" s="8">
        <v>7.4000000000000003E-3</v>
      </c>
      <c r="O4" s="130"/>
      <c r="P4" s="128"/>
      <c r="R4" s="128"/>
    </row>
    <row r="5" spans="1:31" ht="15.75" customHeight="1">
      <c r="B5" t="s">
        <v>62</v>
      </c>
      <c r="D5" s="172">
        <v>10320</v>
      </c>
      <c r="E5" t="s">
        <v>61</v>
      </c>
      <c r="G5" s="539" t="str">
        <f>G9</f>
        <v>PVC Gainage</v>
      </c>
      <c r="H5" s="539"/>
      <c r="I5" s="129"/>
      <c r="J5" s="9">
        <v>0.45</v>
      </c>
      <c r="K5" s="9">
        <v>0.26829999999999998</v>
      </c>
      <c r="L5" s="9">
        <v>0.26790000000000003</v>
      </c>
      <c r="M5" s="9">
        <v>1.38E-2</v>
      </c>
      <c r="N5" s="6"/>
      <c r="O5" s="11"/>
      <c r="P5" s="7"/>
      <c r="R5" s="128"/>
      <c r="X5" s="127"/>
    </row>
    <row r="6" spans="1:31" ht="15.75" customHeight="1">
      <c r="D6">
        <f>D5/2</f>
        <v>5160</v>
      </c>
      <c r="E6" t="s">
        <v>83</v>
      </c>
      <c r="G6" s="540" t="str">
        <f>H9</f>
        <v>PVC Bourrage</v>
      </c>
      <c r="H6" s="540"/>
      <c r="I6" s="126"/>
      <c r="J6" s="10">
        <v>0.35320000000000001</v>
      </c>
      <c r="K6" s="10">
        <v>0.42420000000000002</v>
      </c>
      <c r="L6" s="10">
        <v>0.21199999999999999</v>
      </c>
      <c r="M6" s="10">
        <v>1.06E-2</v>
      </c>
      <c r="N6" s="6"/>
      <c r="O6" s="11"/>
      <c r="P6" s="7"/>
      <c r="Q6" s="125"/>
      <c r="R6" s="3">
        <v>12</v>
      </c>
      <c r="T6" s="7"/>
      <c r="U6" s="125"/>
      <c r="V6" s="125"/>
      <c r="W6" s="125"/>
      <c r="X6" s="125"/>
      <c r="Y6" s="125"/>
      <c r="Z6" s="125"/>
      <c r="AA6" s="125"/>
      <c r="AB6" s="125"/>
      <c r="AC6" s="125"/>
    </row>
    <row r="7" spans="1:31" s="11" customFormat="1">
      <c r="H7" s="12"/>
      <c r="Q7" s="125"/>
      <c r="R7" s="124">
        <v>24</v>
      </c>
      <c r="T7" s="3"/>
      <c r="U7" s="13"/>
      <c r="V7" s="13"/>
      <c r="W7" s="13"/>
      <c r="X7" s="13"/>
      <c r="Y7" s="13"/>
      <c r="Z7" s="13"/>
      <c r="AA7" s="13"/>
      <c r="AB7" s="13"/>
      <c r="AC7" s="13"/>
      <c r="AD7" s="14"/>
      <c r="AE7" s="12"/>
    </row>
    <row r="8" spans="1:31" ht="18.75" customHeight="1">
      <c r="B8" s="505" t="s">
        <v>0</v>
      </c>
      <c r="C8" s="505" t="s">
        <v>1</v>
      </c>
      <c r="D8" s="505" t="s">
        <v>2</v>
      </c>
      <c r="E8" s="509" t="s">
        <v>3</v>
      </c>
      <c r="F8" s="509"/>
      <c r="G8" s="509"/>
      <c r="H8" s="546"/>
      <c r="I8" s="15"/>
      <c r="J8" s="508" t="s">
        <v>4</v>
      </c>
      <c r="K8" s="509"/>
      <c r="L8" s="509"/>
      <c r="M8" s="509"/>
      <c r="N8" s="509"/>
      <c r="O8" s="506"/>
      <c r="P8" s="123" t="s">
        <v>49</v>
      </c>
      <c r="Q8" s="122" t="s">
        <v>48</v>
      </c>
      <c r="R8" s="541" t="s">
        <v>47</v>
      </c>
      <c r="S8" s="568" t="s">
        <v>46</v>
      </c>
      <c r="T8" s="568"/>
      <c r="V8" s="550" t="s">
        <v>33</v>
      </c>
      <c r="W8" s="551"/>
      <c r="X8" s="551"/>
      <c r="Y8" s="551"/>
      <c r="Z8" s="551"/>
      <c r="AA8" s="551"/>
      <c r="AB8" s="551"/>
      <c r="AC8" s="552"/>
      <c r="AD8" s="121"/>
    </row>
    <row r="9" spans="1:31" ht="35.25" customHeight="1" thickBot="1">
      <c r="B9" s="505"/>
      <c r="C9" s="505"/>
      <c r="D9" s="505"/>
      <c r="E9" s="120" t="s">
        <v>6</v>
      </c>
      <c r="F9" s="119" t="s">
        <v>7</v>
      </c>
      <c r="G9" s="118" t="s">
        <v>8</v>
      </c>
      <c r="H9" s="117" t="s">
        <v>9</v>
      </c>
      <c r="I9" s="16"/>
      <c r="J9" s="444" t="s">
        <v>10</v>
      </c>
      <c r="K9" s="445" t="s">
        <v>11</v>
      </c>
      <c r="L9" s="445" t="s">
        <v>12</v>
      </c>
      <c r="M9" s="445" t="s">
        <v>13</v>
      </c>
      <c r="N9" s="443" t="s">
        <v>14</v>
      </c>
      <c r="O9" s="507"/>
      <c r="P9" s="116" t="s">
        <v>45</v>
      </c>
      <c r="Q9" s="116" t="s">
        <v>44</v>
      </c>
      <c r="R9" s="542"/>
      <c r="S9" s="115" t="s">
        <v>43</v>
      </c>
      <c r="T9" s="114" t="s">
        <v>42</v>
      </c>
      <c r="U9" s="64"/>
      <c r="V9" s="204" t="s">
        <v>41</v>
      </c>
      <c r="W9" s="205" t="s">
        <v>40</v>
      </c>
      <c r="X9" s="206" t="s">
        <v>39</v>
      </c>
      <c r="Y9" s="207" t="s">
        <v>75</v>
      </c>
      <c r="Z9" s="208" t="s">
        <v>76</v>
      </c>
      <c r="AA9" s="291" t="s">
        <v>77</v>
      </c>
      <c r="AB9" s="292" t="s">
        <v>88</v>
      </c>
      <c r="AC9" s="351" t="s">
        <v>105</v>
      </c>
      <c r="AD9" s="136" t="s">
        <v>5</v>
      </c>
    </row>
    <row r="10" spans="1:31" ht="24" customHeight="1" thickTop="1">
      <c r="B10" s="560">
        <v>42926</v>
      </c>
      <c r="C10" s="495" t="s">
        <v>16</v>
      </c>
      <c r="D10" s="137"/>
      <c r="E10" s="424"/>
      <c r="F10" s="569"/>
      <c r="G10" s="424"/>
      <c r="H10" s="424"/>
      <c r="I10" s="491"/>
      <c r="J10" s="570"/>
      <c r="K10" s="570"/>
      <c r="L10" s="570"/>
      <c r="M10" s="570"/>
      <c r="N10" s="570"/>
      <c r="O10" s="21"/>
      <c r="P10" s="495">
        <f>F12</f>
        <v>0</v>
      </c>
      <c r="Q10" s="562">
        <f>P10*R7/D5</f>
        <v>0</v>
      </c>
      <c r="R10" s="553">
        <f>+Q10/R7</f>
        <v>0</v>
      </c>
      <c r="S10" s="495">
        <f>D5-P10</f>
        <v>10320</v>
      </c>
      <c r="T10" s="567">
        <f>S10/D5</f>
        <v>1</v>
      </c>
      <c r="U10" s="113"/>
      <c r="V10" s="438"/>
      <c r="W10" s="439"/>
      <c r="X10" s="439"/>
      <c r="Y10" s="439"/>
      <c r="Z10" s="439"/>
      <c r="AA10" s="439"/>
      <c r="AB10" s="439"/>
      <c r="AC10" s="440"/>
      <c r="AD10" s="396"/>
    </row>
    <row r="11" spans="1:31" ht="24" customHeight="1">
      <c r="A11" s="510" t="s">
        <v>15</v>
      </c>
      <c r="B11" s="512"/>
      <c r="C11" s="467"/>
      <c r="D11" s="137"/>
      <c r="E11" s="424"/>
      <c r="F11" s="471"/>
      <c r="G11" s="424"/>
      <c r="H11" s="424"/>
      <c r="I11" s="448"/>
      <c r="J11" s="571"/>
      <c r="K11" s="571"/>
      <c r="L11" s="571"/>
      <c r="M11" s="571"/>
      <c r="N11" s="571"/>
      <c r="O11" s="21"/>
      <c r="P11" s="450"/>
      <c r="Q11" s="453"/>
      <c r="R11" s="573"/>
      <c r="S11" s="450"/>
      <c r="T11" s="477"/>
      <c r="U11" s="564">
        <f>Q10+Y13</f>
        <v>0</v>
      </c>
      <c r="V11" s="232"/>
      <c r="W11" s="210"/>
      <c r="X11" s="210"/>
      <c r="Y11" s="210"/>
      <c r="Z11" s="210"/>
      <c r="AA11" s="210"/>
      <c r="AB11" s="210"/>
      <c r="AC11" s="194"/>
      <c r="AD11" s="190"/>
    </row>
    <row r="12" spans="1:31" ht="24" customHeight="1">
      <c r="A12" s="510"/>
      <c r="B12" s="512"/>
      <c r="C12" s="495" t="s">
        <v>19</v>
      </c>
      <c r="D12" s="493" t="s">
        <v>22</v>
      </c>
      <c r="E12" s="606"/>
      <c r="F12" s="606"/>
      <c r="G12" s="606"/>
      <c r="H12" s="606"/>
      <c r="I12" s="448"/>
      <c r="J12" s="604">
        <f>$F12*J$4</f>
        <v>0</v>
      </c>
      <c r="K12" s="604">
        <f>$F12*K$4</f>
        <v>0</v>
      </c>
      <c r="L12" s="604">
        <f>$F12*L$4</f>
        <v>0</v>
      </c>
      <c r="M12" s="604">
        <f>$F12*M$4</f>
        <v>0</v>
      </c>
      <c r="N12" s="604">
        <f>$F12*N$4</f>
        <v>0</v>
      </c>
      <c r="O12" s="21"/>
      <c r="P12" s="450"/>
      <c r="Q12" s="453"/>
      <c r="R12" s="573"/>
      <c r="S12" s="450"/>
      <c r="T12" s="477"/>
      <c r="U12" s="480"/>
      <c r="V12" s="232"/>
      <c r="W12" s="210"/>
      <c r="X12" s="248"/>
      <c r="Y12" s="248"/>
      <c r="Z12" s="412">
        <v>12</v>
      </c>
      <c r="AA12" s="412"/>
      <c r="AB12" s="412"/>
      <c r="AC12" s="413"/>
      <c r="AD12" s="414" t="s">
        <v>114</v>
      </c>
    </row>
    <row r="13" spans="1:31" ht="24" customHeight="1" thickBot="1">
      <c r="A13" s="510"/>
      <c r="B13" s="513"/>
      <c r="C13" s="451"/>
      <c r="D13" s="494"/>
      <c r="E13" s="658"/>
      <c r="F13" s="658"/>
      <c r="G13" s="658"/>
      <c r="H13" s="658"/>
      <c r="I13" s="492"/>
      <c r="J13" s="535"/>
      <c r="K13" s="535"/>
      <c r="L13" s="535"/>
      <c r="M13" s="535"/>
      <c r="N13" s="535"/>
      <c r="O13" s="23"/>
      <c r="P13" s="451"/>
      <c r="Q13" s="454"/>
      <c r="R13" s="554"/>
      <c r="S13" s="451"/>
      <c r="T13" s="478"/>
      <c r="U13" s="481"/>
      <c r="V13" s="234"/>
      <c r="W13" s="230"/>
      <c r="X13" s="230"/>
      <c r="Y13" s="230"/>
      <c r="Z13" s="231"/>
      <c r="AA13" s="231"/>
      <c r="AB13" s="230"/>
      <c r="AC13" s="195"/>
      <c r="AD13" s="191"/>
      <c r="AE13" s="203">
        <f>SUM(V10:AB13)+Q10</f>
        <v>12</v>
      </c>
    </row>
    <row r="14" spans="1:31" ht="24" customHeight="1" thickTop="1">
      <c r="A14" s="510" t="s">
        <v>21</v>
      </c>
      <c r="B14" s="511">
        <v>42927</v>
      </c>
      <c r="C14" s="449" t="s">
        <v>16</v>
      </c>
      <c r="D14" s="468" t="s">
        <v>17</v>
      </c>
      <c r="E14" s="424"/>
      <c r="F14" s="424"/>
      <c r="G14" s="424"/>
      <c r="H14" s="424"/>
      <c r="I14" s="491"/>
      <c r="J14" s="663">
        <f>$F14*J$4</f>
        <v>0</v>
      </c>
      <c r="K14" s="663">
        <f t="shared" ref="K14:N14" si="0">$F14*K$4</f>
        <v>0</v>
      </c>
      <c r="L14" s="663">
        <f t="shared" si="0"/>
        <v>0</v>
      </c>
      <c r="M14" s="663">
        <f t="shared" si="0"/>
        <v>0</v>
      </c>
      <c r="N14" s="663">
        <f t="shared" si="0"/>
        <v>0</v>
      </c>
      <c r="O14" s="491"/>
      <c r="P14" s="449">
        <f>+SUM(E14:H17)</f>
        <v>0</v>
      </c>
      <c r="Q14" s="502">
        <f>P14*R7/D5</f>
        <v>0</v>
      </c>
      <c r="R14" s="455">
        <f>Q14/R7</f>
        <v>0</v>
      </c>
      <c r="S14" s="449">
        <f>+D5-P14</f>
        <v>10320</v>
      </c>
      <c r="T14" s="476">
        <f>S14/D5</f>
        <v>1</v>
      </c>
      <c r="U14" s="417"/>
      <c r="V14" s="254"/>
      <c r="W14" s="212"/>
      <c r="X14" s="212"/>
      <c r="Y14" s="212"/>
      <c r="Z14" s="212"/>
      <c r="AA14" s="212"/>
      <c r="AB14" s="212"/>
      <c r="AC14" s="196"/>
      <c r="AD14" s="189"/>
      <c r="AE14" s="203"/>
    </row>
    <row r="15" spans="1:31" ht="24" customHeight="1">
      <c r="A15" s="510"/>
      <c r="B15" s="512"/>
      <c r="C15" s="467"/>
      <c r="D15" s="469"/>
      <c r="E15" s="424"/>
      <c r="F15" s="424"/>
      <c r="G15" s="424"/>
      <c r="H15" s="424"/>
      <c r="I15" s="448"/>
      <c r="J15" s="535"/>
      <c r="K15" s="535"/>
      <c r="L15" s="535"/>
      <c r="M15" s="535"/>
      <c r="N15" s="535"/>
      <c r="O15" s="448"/>
      <c r="P15" s="450"/>
      <c r="Q15" s="503"/>
      <c r="R15" s="456"/>
      <c r="S15" s="450"/>
      <c r="T15" s="477"/>
      <c r="U15" s="564">
        <f>Q14+Y15+Y17</f>
        <v>0</v>
      </c>
      <c r="V15" s="232"/>
      <c r="W15" s="210"/>
      <c r="X15" s="249"/>
      <c r="Y15" s="210"/>
      <c r="Z15" s="210"/>
      <c r="AA15" s="210"/>
      <c r="AB15" s="210"/>
      <c r="AC15" s="194"/>
      <c r="AD15" s="190"/>
      <c r="AE15" s="203"/>
    </row>
    <row r="16" spans="1:31" ht="24" customHeight="1">
      <c r="A16" s="510"/>
      <c r="B16" s="512"/>
      <c r="C16" s="495" t="s">
        <v>19</v>
      </c>
      <c r="D16" s="493" t="s">
        <v>22</v>
      </c>
      <c r="E16" s="424"/>
      <c r="F16" s="424"/>
      <c r="G16" s="424"/>
      <c r="H16" s="424"/>
      <c r="I16" s="448"/>
      <c r="J16" s="604">
        <f>$F16*J$4</f>
        <v>0</v>
      </c>
      <c r="K16" s="604">
        <f t="shared" ref="K16:N16" si="1">$F16*K$4</f>
        <v>0</v>
      </c>
      <c r="L16" s="604">
        <f t="shared" si="1"/>
        <v>0</v>
      </c>
      <c r="M16" s="604">
        <f t="shared" si="1"/>
        <v>0</v>
      </c>
      <c r="N16" s="604">
        <f t="shared" si="1"/>
        <v>0</v>
      </c>
      <c r="O16" s="448"/>
      <c r="P16" s="450"/>
      <c r="Q16" s="503"/>
      <c r="R16" s="456"/>
      <c r="S16" s="450"/>
      <c r="T16" s="477"/>
      <c r="U16" s="480"/>
      <c r="V16" s="232"/>
      <c r="W16" s="210"/>
      <c r="X16" s="210"/>
      <c r="Y16" s="210"/>
      <c r="Z16" s="412">
        <v>24</v>
      </c>
      <c r="AA16" s="412"/>
      <c r="AB16" s="412"/>
      <c r="AC16" s="413"/>
      <c r="AD16" s="414" t="s">
        <v>114</v>
      </c>
      <c r="AE16" s="203"/>
    </row>
    <row r="17" spans="1:31" ht="24" customHeight="1" thickBot="1">
      <c r="A17" s="510"/>
      <c r="B17" s="513"/>
      <c r="C17" s="451"/>
      <c r="D17" s="494"/>
      <c r="E17" s="22"/>
      <c r="F17" s="22"/>
      <c r="G17" s="22"/>
      <c r="H17" s="22"/>
      <c r="I17" s="492"/>
      <c r="J17" s="535"/>
      <c r="K17" s="535"/>
      <c r="L17" s="535"/>
      <c r="M17" s="535"/>
      <c r="N17" s="535"/>
      <c r="O17" s="492"/>
      <c r="P17" s="451"/>
      <c r="Q17" s="504"/>
      <c r="R17" s="457"/>
      <c r="S17" s="451"/>
      <c r="T17" s="478"/>
      <c r="U17" s="481"/>
      <c r="V17" s="234"/>
      <c r="W17" s="230"/>
      <c r="X17" s="230"/>
      <c r="Y17" s="213"/>
      <c r="Z17" s="213"/>
      <c r="AA17" s="213"/>
      <c r="AB17" s="213"/>
      <c r="AC17" s="280"/>
      <c r="AD17" s="281"/>
      <c r="AE17" s="203">
        <f>SUM(V14:AB17)+Q14</f>
        <v>24</v>
      </c>
    </row>
    <row r="18" spans="1:31" ht="24" customHeight="1" thickTop="1" thickBot="1">
      <c r="A18" s="510" t="s">
        <v>23</v>
      </c>
      <c r="B18" s="511">
        <v>42928</v>
      </c>
      <c r="C18" s="449" t="s">
        <v>16</v>
      </c>
      <c r="D18" s="468" t="s">
        <v>17</v>
      </c>
      <c r="E18" s="424"/>
      <c r="F18" s="424"/>
      <c r="G18" s="424"/>
      <c r="H18" s="424"/>
      <c r="I18" s="491"/>
      <c r="J18" s="663">
        <f>$F18*J$4</f>
        <v>0</v>
      </c>
      <c r="K18" s="663">
        <f t="shared" ref="K18:N18" si="2">$F18*K$4</f>
        <v>0</v>
      </c>
      <c r="L18" s="663">
        <f t="shared" si="2"/>
        <v>0</v>
      </c>
      <c r="M18" s="663">
        <f t="shared" si="2"/>
        <v>0</v>
      </c>
      <c r="N18" s="663">
        <f t="shared" si="2"/>
        <v>0</v>
      </c>
      <c r="O18" s="491"/>
      <c r="P18" s="449">
        <f>SUM(E18:H21)</f>
        <v>0</v>
      </c>
      <c r="Q18" s="502">
        <f>P18*R7/D5</f>
        <v>0</v>
      </c>
      <c r="R18" s="455">
        <f>Q18/R7</f>
        <v>0</v>
      </c>
      <c r="S18" s="449">
        <f>+D5-P18</f>
        <v>10320</v>
      </c>
      <c r="T18" s="476">
        <f>S18/D5</f>
        <v>1</v>
      </c>
      <c r="U18" s="417"/>
      <c r="V18" s="254"/>
      <c r="W18" s="212"/>
      <c r="X18" s="212"/>
      <c r="Y18" s="212"/>
      <c r="Z18" s="212"/>
      <c r="AA18" s="212"/>
      <c r="AB18" s="212"/>
      <c r="AC18" s="196"/>
      <c r="AD18" s="189"/>
      <c r="AE18" s="203"/>
    </row>
    <row r="19" spans="1:31" ht="24" customHeight="1" thickTop="1">
      <c r="A19" s="510"/>
      <c r="B19" s="512"/>
      <c r="C19" s="467"/>
      <c r="D19" s="469"/>
      <c r="E19" s="424"/>
      <c r="F19" s="424"/>
      <c r="G19" s="424"/>
      <c r="H19" s="424"/>
      <c r="I19" s="448"/>
      <c r="J19" s="535"/>
      <c r="K19" s="535"/>
      <c r="L19" s="535"/>
      <c r="M19" s="535"/>
      <c r="N19" s="535"/>
      <c r="O19" s="448"/>
      <c r="P19" s="450"/>
      <c r="Q19" s="503"/>
      <c r="R19" s="456"/>
      <c r="S19" s="450"/>
      <c r="T19" s="477"/>
      <c r="U19" s="547"/>
      <c r="V19" s="232"/>
      <c r="W19" s="210"/>
      <c r="X19" s="249"/>
      <c r="Y19" s="210"/>
      <c r="Z19" s="210"/>
      <c r="AA19" s="210"/>
      <c r="AB19" s="210"/>
      <c r="AC19" s="194"/>
      <c r="AD19" s="190"/>
      <c r="AE19" s="203"/>
    </row>
    <row r="20" spans="1:31" ht="24" customHeight="1">
      <c r="A20" s="510"/>
      <c r="B20" s="512"/>
      <c r="C20" s="495" t="s">
        <v>19</v>
      </c>
      <c r="D20" s="493" t="s">
        <v>22</v>
      </c>
      <c r="E20" s="424"/>
      <c r="F20" s="424"/>
      <c r="G20" s="424"/>
      <c r="H20" s="424"/>
      <c r="I20" s="448"/>
      <c r="J20" s="604">
        <f>$F20*J$4</f>
        <v>0</v>
      </c>
      <c r="K20" s="604">
        <f t="shared" ref="K20:N20" si="3">$F20*K$4</f>
        <v>0</v>
      </c>
      <c r="L20" s="604">
        <f t="shared" si="3"/>
        <v>0</v>
      </c>
      <c r="M20" s="604">
        <f t="shared" si="3"/>
        <v>0</v>
      </c>
      <c r="N20" s="604">
        <f t="shared" si="3"/>
        <v>0</v>
      </c>
      <c r="O20" s="448"/>
      <c r="P20" s="450"/>
      <c r="Q20" s="503"/>
      <c r="R20" s="456"/>
      <c r="S20" s="450"/>
      <c r="T20" s="477"/>
      <c r="U20" s="548"/>
      <c r="V20" s="232"/>
      <c r="W20" s="210"/>
      <c r="X20" s="210"/>
      <c r="Y20" s="210"/>
      <c r="Z20" s="412">
        <v>24</v>
      </c>
      <c r="AA20" s="412"/>
      <c r="AB20" s="412"/>
      <c r="AC20" s="413"/>
      <c r="AD20" s="414" t="s">
        <v>114</v>
      </c>
      <c r="AE20" s="203"/>
    </row>
    <row r="21" spans="1:31" ht="24" customHeight="1" thickBot="1">
      <c r="A21" s="510"/>
      <c r="B21" s="513"/>
      <c r="C21" s="451"/>
      <c r="D21" s="494"/>
      <c r="E21" s="22"/>
      <c r="F21" s="22"/>
      <c r="G21" s="22"/>
      <c r="H21" s="22"/>
      <c r="I21" s="492"/>
      <c r="J21" s="535"/>
      <c r="K21" s="535"/>
      <c r="L21" s="535"/>
      <c r="M21" s="535"/>
      <c r="N21" s="535"/>
      <c r="O21" s="492"/>
      <c r="P21" s="451"/>
      <c r="Q21" s="504"/>
      <c r="R21" s="457"/>
      <c r="S21" s="451"/>
      <c r="T21" s="478"/>
      <c r="U21" s="549"/>
      <c r="V21" s="234"/>
      <c r="W21" s="230"/>
      <c r="X21" s="230"/>
      <c r="Y21" s="213"/>
      <c r="Z21" s="213"/>
      <c r="AA21" s="213"/>
      <c r="AB21" s="213"/>
      <c r="AC21" s="436"/>
      <c r="AD21" s="191"/>
      <c r="AE21" s="203">
        <f>SUM(V18:AB21)+Q18</f>
        <v>24</v>
      </c>
    </row>
    <row r="22" spans="1:31" ht="24" customHeight="1" thickTop="1" thickBot="1">
      <c r="A22" s="419"/>
      <c r="B22" s="511">
        <v>42929</v>
      </c>
      <c r="C22" s="449" t="s">
        <v>16</v>
      </c>
      <c r="D22" s="468" t="s">
        <v>17</v>
      </c>
      <c r="E22" s="531"/>
      <c r="F22" s="531"/>
      <c r="G22" s="531"/>
      <c r="H22" s="531"/>
      <c r="I22" s="491"/>
      <c r="J22" s="663">
        <f>$F22*J$4</f>
        <v>0</v>
      </c>
      <c r="K22" s="663">
        <f t="shared" ref="K22:N22" si="4">$F22*K$4</f>
        <v>0</v>
      </c>
      <c r="L22" s="663">
        <f t="shared" si="4"/>
        <v>0</v>
      </c>
      <c r="M22" s="663">
        <f t="shared" si="4"/>
        <v>0</v>
      </c>
      <c r="N22" s="663">
        <f t="shared" si="4"/>
        <v>0</v>
      </c>
      <c r="O22" s="491"/>
      <c r="P22" s="449">
        <f>SUM(E22:H25)</f>
        <v>0</v>
      </c>
      <c r="Q22" s="626">
        <f>P22*R7/D5</f>
        <v>0</v>
      </c>
      <c r="R22" s="574">
        <f>Q22/R7</f>
        <v>0</v>
      </c>
      <c r="S22" s="449">
        <f>D5-P22</f>
        <v>10320</v>
      </c>
      <c r="T22" s="485">
        <f>S22/D5</f>
        <v>1</v>
      </c>
      <c r="U22" s="420"/>
      <c r="V22" s="254"/>
      <c r="W22" s="212"/>
      <c r="X22" s="212"/>
      <c r="Y22" s="212"/>
      <c r="Z22" s="212"/>
      <c r="AA22" s="212"/>
      <c r="AB22" s="212"/>
      <c r="AC22" s="196"/>
      <c r="AD22" s="189"/>
      <c r="AE22" s="203"/>
    </row>
    <row r="23" spans="1:31" ht="24" customHeight="1" thickTop="1">
      <c r="A23" s="510" t="s">
        <v>24</v>
      </c>
      <c r="B23" s="498"/>
      <c r="C23" s="467"/>
      <c r="D23" s="469"/>
      <c r="E23" s="532"/>
      <c r="F23" s="532"/>
      <c r="G23" s="532"/>
      <c r="H23" s="532"/>
      <c r="I23" s="448"/>
      <c r="J23" s="535"/>
      <c r="K23" s="535"/>
      <c r="L23" s="535"/>
      <c r="M23" s="535"/>
      <c r="N23" s="535"/>
      <c r="O23" s="448"/>
      <c r="P23" s="450"/>
      <c r="Q23" s="627"/>
      <c r="R23" s="573"/>
      <c r="S23" s="450"/>
      <c r="T23" s="486"/>
      <c r="U23" s="482">
        <f>Q22+Y23+Y25</f>
        <v>0</v>
      </c>
      <c r="V23" s="232"/>
      <c r="W23" s="210"/>
      <c r="X23" s="249"/>
      <c r="Y23" s="210"/>
      <c r="Z23" s="210"/>
      <c r="AA23" s="210"/>
      <c r="AB23" s="249"/>
      <c r="AC23" s="441"/>
      <c r="AD23" s="190"/>
      <c r="AE23" s="203"/>
    </row>
    <row r="24" spans="1:31" ht="24" customHeight="1">
      <c r="A24" s="510"/>
      <c r="B24" s="498"/>
      <c r="C24" s="495" t="s">
        <v>19</v>
      </c>
      <c r="D24" s="493" t="s">
        <v>22</v>
      </c>
      <c r="E24" s="40"/>
      <c r="F24" s="40"/>
      <c r="G24" s="532"/>
      <c r="H24" s="40"/>
      <c r="I24" s="21"/>
      <c r="J24" s="423">
        <f>$F24*J$4</f>
        <v>0</v>
      </c>
      <c r="K24" s="423">
        <f t="shared" ref="K24:N24" si="5">$F24*K$4</f>
        <v>0</v>
      </c>
      <c r="L24" s="423">
        <f t="shared" si="5"/>
        <v>0</v>
      </c>
      <c r="M24" s="423">
        <f t="shared" si="5"/>
        <v>0</v>
      </c>
      <c r="N24" s="423">
        <f t="shared" si="5"/>
        <v>0</v>
      </c>
      <c r="O24" s="448"/>
      <c r="P24" s="450"/>
      <c r="Q24" s="627"/>
      <c r="R24" s="573"/>
      <c r="S24" s="450"/>
      <c r="T24" s="486"/>
      <c r="U24" s="483"/>
      <c r="V24" s="232"/>
      <c r="W24" s="210"/>
      <c r="X24" s="210"/>
      <c r="Y24" s="210"/>
      <c r="Z24" s="412">
        <v>24</v>
      </c>
      <c r="AA24" s="412"/>
      <c r="AB24" s="412"/>
      <c r="AC24" s="413"/>
      <c r="AD24" s="414" t="s">
        <v>114</v>
      </c>
      <c r="AE24" s="203"/>
    </row>
    <row r="25" spans="1:31" ht="24" customHeight="1" thickBot="1">
      <c r="A25" s="510"/>
      <c r="B25" s="498"/>
      <c r="C25" s="498"/>
      <c r="D25" s="494"/>
      <c r="E25" s="424"/>
      <c r="F25" s="424"/>
      <c r="G25" s="657"/>
      <c r="H25" s="22"/>
      <c r="I25" s="21"/>
      <c r="J25" s="425">
        <f>$E25*J3</f>
        <v>0</v>
      </c>
      <c r="K25" s="425">
        <f t="shared" ref="K25:M25" si="6">$E25*K3</f>
        <v>0</v>
      </c>
      <c r="L25" s="425">
        <f t="shared" si="6"/>
        <v>0</v>
      </c>
      <c r="M25" s="425">
        <f t="shared" si="6"/>
        <v>0</v>
      </c>
      <c r="N25" s="150"/>
      <c r="O25" s="492"/>
      <c r="P25" s="450"/>
      <c r="Q25" s="627"/>
      <c r="R25" s="573"/>
      <c r="S25" s="450"/>
      <c r="T25" s="486"/>
      <c r="U25" s="483"/>
      <c r="V25" s="234"/>
      <c r="W25" s="230"/>
      <c r="X25" s="230"/>
      <c r="Y25" s="213"/>
      <c r="Z25" s="213"/>
      <c r="AA25" s="213"/>
      <c r="AB25" s="442"/>
      <c r="AC25" s="437"/>
      <c r="AD25" s="191"/>
      <c r="AE25" s="203">
        <f>SUM(V22:AB25)+Q22</f>
        <v>24</v>
      </c>
    </row>
    <row r="26" spans="1:31" ht="19.5" customHeight="1" thickTop="1" thickBot="1">
      <c r="A26" s="419"/>
      <c r="B26" s="511">
        <v>42930</v>
      </c>
      <c r="C26" s="449" t="s">
        <v>16</v>
      </c>
      <c r="D26" s="468" t="s">
        <v>17</v>
      </c>
      <c r="E26" s="531"/>
      <c r="F26" s="531"/>
      <c r="G26" s="531"/>
      <c r="H26" s="531"/>
      <c r="I26" s="21"/>
      <c r="J26" s="663">
        <f>$E26*J$3</f>
        <v>0</v>
      </c>
      <c r="K26" s="663">
        <f t="shared" ref="K26:M26" si="7">$E26*K$3</f>
        <v>0</v>
      </c>
      <c r="L26" s="663">
        <f t="shared" si="7"/>
        <v>0</v>
      </c>
      <c r="M26" s="663">
        <f t="shared" si="7"/>
        <v>0</v>
      </c>
      <c r="N26" s="576"/>
      <c r="O26" s="21"/>
      <c r="P26" s="449">
        <f>SUM(E26:H29)</f>
        <v>4440</v>
      </c>
      <c r="Q26" s="479">
        <f>P26*R7/D5</f>
        <v>10.325581395348838</v>
      </c>
      <c r="R26" s="574">
        <f>Q26/R7</f>
        <v>0.43023255813953493</v>
      </c>
      <c r="S26" s="449">
        <f>D5-P26</f>
        <v>5880</v>
      </c>
      <c r="T26" s="476">
        <f>S26/D5</f>
        <v>0.56976744186046513</v>
      </c>
      <c r="U26" s="418"/>
      <c r="V26" s="344">
        <v>2</v>
      </c>
      <c r="W26" s="237"/>
      <c r="X26" s="237"/>
      <c r="Y26" s="237"/>
      <c r="Z26" s="237"/>
      <c r="AA26" s="237"/>
      <c r="AB26" s="237"/>
      <c r="AC26" s="238"/>
      <c r="AD26" s="446" t="s">
        <v>139</v>
      </c>
      <c r="AE26" s="203"/>
    </row>
    <row r="27" spans="1:31" ht="19.5" customHeight="1" thickTop="1">
      <c r="A27" s="510" t="s">
        <v>25</v>
      </c>
      <c r="B27" s="512"/>
      <c r="C27" s="467"/>
      <c r="D27" s="469"/>
      <c r="E27" s="532"/>
      <c r="F27" s="532"/>
      <c r="G27" s="662"/>
      <c r="H27" s="532"/>
      <c r="I27" s="21"/>
      <c r="J27" s="535"/>
      <c r="K27" s="535"/>
      <c r="L27" s="535"/>
      <c r="M27" s="535"/>
      <c r="N27" s="585"/>
      <c r="O27" s="21"/>
      <c r="P27" s="450"/>
      <c r="Q27" s="480"/>
      <c r="R27" s="573"/>
      <c r="S27" s="450"/>
      <c r="T27" s="477"/>
      <c r="U27" s="479">
        <f>Y27+Y29+Q26</f>
        <v>10.325581395348838</v>
      </c>
      <c r="V27" s="232"/>
      <c r="W27" s="210"/>
      <c r="X27" s="210"/>
      <c r="Y27" s="210"/>
      <c r="Z27" s="210"/>
      <c r="AA27" s="210"/>
      <c r="AB27" s="210"/>
      <c r="AC27" s="194"/>
      <c r="AD27" s="190"/>
      <c r="AE27" s="203"/>
    </row>
    <row r="28" spans="1:31" ht="21" customHeight="1" thickBot="1">
      <c r="A28" s="510"/>
      <c r="B28" s="512"/>
      <c r="C28" s="495" t="s">
        <v>19</v>
      </c>
      <c r="D28" s="493" t="s">
        <v>22</v>
      </c>
      <c r="E28" s="661"/>
      <c r="F28" s="532"/>
      <c r="G28" s="631">
        <f>37*120</f>
        <v>4440</v>
      </c>
      <c r="H28" s="40"/>
      <c r="I28" s="21"/>
      <c r="J28" s="584">
        <f>$G28*J$5</f>
        <v>1998</v>
      </c>
      <c r="K28" s="584">
        <f t="shared" ref="K28:M28" si="8">$G28*K$5</f>
        <v>1191.252</v>
      </c>
      <c r="L28" s="584">
        <f t="shared" si="8"/>
        <v>1189.4760000000001</v>
      </c>
      <c r="M28" s="584">
        <f t="shared" si="8"/>
        <v>61.271999999999998</v>
      </c>
      <c r="N28" s="44"/>
      <c r="O28" s="21"/>
      <c r="P28" s="450"/>
      <c r="Q28" s="480"/>
      <c r="R28" s="573"/>
      <c r="S28" s="450"/>
      <c r="T28" s="477"/>
      <c r="U28" s="450"/>
      <c r="V28" s="232"/>
      <c r="W28" s="210"/>
      <c r="X28" s="210"/>
      <c r="Y28" s="210"/>
      <c r="Z28" s="412">
        <v>11.5</v>
      </c>
      <c r="AA28" s="412"/>
      <c r="AB28" s="412"/>
      <c r="AC28" s="413"/>
      <c r="AD28" s="414" t="s">
        <v>114</v>
      </c>
      <c r="AE28" s="203"/>
    </row>
    <row r="29" spans="1:31" ht="21" customHeight="1" thickTop="1" thickBot="1">
      <c r="A29" s="510"/>
      <c r="B29" s="513"/>
      <c r="C29" s="451"/>
      <c r="D29" s="494"/>
      <c r="E29" s="650"/>
      <c r="F29" s="657"/>
      <c r="G29" s="659"/>
      <c r="H29" s="22"/>
      <c r="I29" s="21"/>
      <c r="J29" s="629"/>
      <c r="K29" s="629"/>
      <c r="L29" s="629"/>
      <c r="M29" s="629"/>
      <c r="N29" s="150"/>
      <c r="O29" s="23"/>
      <c r="P29" s="451"/>
      <c r="Q29" s="481"/>
      <c r="R29" s="554"/>
      <c r="S29" s="451"/>
      <c r="T29" s="478"/>
      <c r="U29" s="451"/>
      <c r="V29" s="234"/>
      <c r="W29" s="230"/>
      <c r="X29" s="230"/>
      <c r="Y29" s="213"/>
      <c r="Z29" s="213"/>
      <c r="AA29" s="213"/>
      <c r="AB29" s="442"/>
      <c r="AC29" s="437"/>
      <c r="AD29" s="191"/>
      <c r="AE29" s="203">
        <f>SUM(V26:AB29)+Q26</f>
        <v>23.825581395348838</v>
      </c>
    </row>
    <row r="30" spans="1:31" ht="21" customHeight="1" thickTop="1" thickBot="1">
      <c r="A30" s="419"/>
      <c r="B30" s="511">
        <v>42931</v>
      </c>
      <c r="C30" s="449" t="s">
        <v>16</v>
      </c>
      <c r="D30" s="468" t="s">
        <v>17</v>
      </c>
      <c r="E30" s="531"/>
      <c r="F30" s="531"/>
      <c r="G30" s="630">
        <f>44*120</f>
        <v>5280</v>
      </c>
      <c r="H30" s="531"/>
      <c r="I30" s="448"/>
      <c r="J30" s="581">
        <f>$G30*J$5</f>
        <v>2376</v>
      </c>
      <c r="K30" s="581">
        <f t="shared" ref="K30:M30" si="9">$G30*K$5</f>
        <v>1416.6239999999998</v>
      </c>
      <c r="L30" s="581">
        <f t="shared" si="9"/>
        <v>1414.5120000000002</v>
      </c>
      <c r="M30" s="581">
        <f t="shared" si="9"/>
        <v>72.864000000000004</v>
      </c>
      <c r="N30" s="601">
        <f>$F30*N$4</f>
        <v>0</v>
      </c>
      <c r="O30" s="448"/>
      <c r="P30" s="449">
        <f>SUM(E30:H33)</f>
        <v>10920</v>
      </c>
      <c r="Q30" s="452">
        <f>P30*R7/D5</f>
        <v>25.395348837209301</v>
      </c>
      <c r="R30" s="455">
        <f>Q30/R7</f>
        <v>1.0581395348837208</v>
      </c>
      <c r="S30" s="449">
        <f>D5-P30</f>
        <v>-600</v>
      </c>
      <c r="T30" s="458">
        <f>S30/D5</f>
        <v>-5.8139534883720929E-2</v>
      </c>
      <c r="U30" s="416"/>
      <c r="V30" s="232"/>
      <c r="W30" s="210"/>
      <c r="X30" s="210"/>
      <c r="Y30" s="210"/>
      <c r="Z30" s="210"/>
      <c r="AA30" s="210"/>
      <c r="AB30" s="210"/>
      <c r="AC30" s="196"/>
      <c r="AD30" s="189"/>
      <c r="AE30" s="203"/>
    </row>
    <row r="31" spans="1:31" ht="21" customHeight="1" thickTop="1">
      <c r="A31" s="510" t="s">
        <v>26</v>
      </c>
      <c r="B31" s="512"/>
      <c r="C31" s="467"/>
      <c r="D31" s="469"/>
      <c r="E31" s="532"/>
      <c r="F31" s="532"/>
      <c r="G31" s="660"/>
      <c r="H31" s="532"/>
      <c r="I31" s="448"/>
      <c r="J31" s="582"/>
      <c r="K31" s="582"/>
      <c r="L31" s="582"/>
      <c r="M31" s="582"/>
      <c r="N31" s="536"/>
      <c r="O31" s="448"/>
      <c r="P31" s="450"/>
      <c r="Q31" s="453"/>
      <c r="R31" s="456"/>
      <c r="S31" s="450"/>
      <c r="T31" s="459"/>
      <c r="U31" s="479">
        <f>Q30+Y32</f>
        <v>25.395348837209301</v>
      </c>
      <c r="V31" s="232"/>
      <c r="W31" s="210"/>
      <c r="X31" s="210"/>
      <c r="Y31" s="210"/>
      <c r="Z31" s="210"/>
      <c r="AA31" s="210"/>
      <c r="AB31" s="210"/>
      <c r="AC31" s="194"/>
      <c r="AD31" s="190"/>
      <c r="AE31" s="203"/>
    </row>
    <row r="32" spans="1:31" ht="23.25" customHeight="1">
      <c r="A32" s="510"/>
      <c r="B32" s="512"/>
      <c r="C32" s="495" t="s">
        <v>19</v>
      </c>
      <c r="D32" s="493" t="s">
        <v>22</v>
      </c>
      <c r="E32" s="661"/>
      <c r="F32" s="532"/>
      <c r="G32" s="631">
        <f>47*120</f>
        <v>5640</v>
      </c>
      <c r="H32" s="40"/>
      <c r="I32" s="42"/>
      <c r="J32" s="584">
        <f>$G32*J$5</f>
        <v>2538</v>
      </c>
      <c r="K32" s="584">
        <f t="shared" ref="K32:M32" si="10">$G32*K$5</f>
        <v>1513.212</v>
      </c>
      <c r="L32" s="584">
        <f t="shared" si="10"/>
        <v>1510.9560000000001</v>
      </c>
      <c r="M32" s="584">
        <f t="shared" si="10"/>
        <v>77.831999999999994</v>
      </c>
      <c r="N32" s="604">
        <f>$F32*N$4</f>
        <v>0</v>
      </c>
      <c r="O32" s="21"/>
      <c r="P32" s="450"/>
      <c r="Q32" s="453"/>
      <c r="R32" s="456"/>
      <c r="S32" s="450"/>
      <c r="T32" s="459"/>
      <c r="U32" s="480"/>
      <c r="V32" s="232"/>
      <c r="W32" s="210"/>
      <c r="X32" s="210"/>
      <c r="Y32" s="210"/>
      <c r="Z32" s="210"/>
      <c r="AA32" s="210"/>
      <c r="AB32" s="210"/>
      <c r="AC32" s="194"/>
      <c r="AD32" s="190"/>
      <c r="AE32" s="203"/>
    </row>
    <row r="33" spans="1:31" ht="23.25" customHeight="1" thickBot="1">
      <c r="A33" s="510"/>
      <c r="B33" s="513"/>
      <c r="C33" s="451"/>
      <c r="D33" s="494"/>
      <c r="E33" s="650"/>
      <c r="F33" s="657"/>
      <c r="G33" s="659"/>
      <c r="H33" s="22"/>
      <c r="I33" s="158"/>
      <c r="J33" s="629"/>
      <c r="K33" s="629"/>
      <c r="L33" s="629"/>
      <c r="M33" s="629"/>
      <c r="N33" s="535"/>
      <c r="O33" s="21"/>
      <c r="P33" s="451"/>
      <c r="Q33" s="454"/>
      <c r="R33" s="457"/>
      <c r="S33" s="451"/>
      <c r="T33" s="460"/>
      <c r="U33" s="481"/>
      <c r="V33" s="234"/>
      <c r="W33" s="230"/>
      <c r="X33" s="230"/>
      <c r="Y33" s="213"/>
      <c r="Z33" s="213"/>
      <c r="AA33" s="213"/>
      <c r="AB33" s="230"/>
      <c r="AC33" s="195"/>
      <c r="AD33" s="191"/>
      <c r="AE33" s="203">
        <f>SUM(V30:AB33)+Q30</f>
        <v>25.395348837209301</v>
      </c>
    </row>
    <row r="34" spans="1:31" ht="23.25" customHeight="1" thickTop="1" thickBot="1">
      <c r="A34" s="419"/>
      <c r="B34" s="521">
        <v>42932</v>
      </c>
      <c r="C34" s="544" t="s">
        <v>16</v>
      </c>
      <c r="D34" s="525" t="s">
        <v>17</v>
      </c>
      <c r="E34" s="435"/>
      <c r="F34" s="435"/>
      <c r="G34" s="630">
        <f>39*120</f>
        <v>4680</v>
      </c>
      <c r="H34" s="435"/>
      <c r="I34" s="434"/>
      <c r="J34" s="581">
        <f>$G34*J$5</f>
        <v>2106</v>
      </c>
      <c r="K34" s="581">
        <f t="shared" ref="K34:M34" si="11">$G34*K$5</f>
        <v>1255.644</v>
      </c>
      <c r="L34" s="581">
        <f t="shared" si="11"/>
        <v>1253.7720000000002</v>
      </c>
      <c r="M34" s="581">
        <f t="shared" si="11"/>
        <v>64.584000000000003</v>
      </c>
      <c r="N34" s="601"/>
      <c r="O34" s="21"/>
      <c r="P34" s="449">
        <f>G34</f>
        <v>4680</v>
      </c>
      <c r="Q34" s="544">
        <f>P34*R6/D6</f>
        <v>10.883720930232558</v>
      </c>
      <c r="R34" s="574">
        <f>Q34/R6</f>
        <v>0.90697674418604646</v>
      </c>
      <c r="S34" s="544">
        <f>D5-P34</f>
        <v>5640</v>
      </c>
      <c r="T34" s="565">
        <f>+S34/D5</f>
        <v>0.54651162790697672</v>
      </c>
      <c r="U34" s="161"/>
      <c r="V34" s="254">
        <v>1</v>
      </c>
      <c r="W34" s="212"/>
      <c r="X34" s="212"/>
      <c r="Y34" s="212"/>
      <c r="Z34" s="212"/>
      <c r="AA34" s="212"/>
      <c r="AB34" s="212"/>
      <c r="AC34" s="196"/>
      <c r="AD34" s="189" t="s">
        <v>140</v>
      </c>
      <c r="AE34" s="203"/>
    </row>
    <row r="35" spans="1:31" ht="23.25" customHeight="1" thickTop="1">
      <c r="A35" s="510" t="s">
        <v>28</v>
      </c>
      <c r="B35" s="593"/>
      <c r="C35" s="594"/>
      <c r="D35" s="526"/>
      <c r="E35" s="435"/>
      <c r="F35" s="435"/>
      <c r="G35" s="660"/>
      <c r="H35" s="435"/>
      <c r="I35" s="434"/>
      <c r="J35" s="582"/>
      <c r="K35" s="582"/>
      <c r="L35" s="582"/>
      <c r="M35" s="582"/>
      <c r="N35" s="536"/>
      <c r="O35" s="25"/>
      <c r="P35" s="450"/>
      <c r="Q35" s="590"/>
      <c r="R35" s="573"/>
      <c r="S35" s="590"/>
      <c r="T35" s="591"/>
      <c r="U35" s="49"/>
      <c r="V35" s="232"/>
      <c r="W35" s="210"/>
      <c r="X35" s="210"/>
      <c r="Y35" s="210"/>
      <c r="Z35" s="210"/>
      <c r="AA35" s="210"/>
      <c r="AB35" s="210"/>
      <c r="AC35" s="194"/>
      <c r="AD35" s="190"/>
      <c r="AE35" s="203"/>
    </row>
    <row r="36" spans="1:31" ht="23.25" customHeight="1">
      <c r="A36" s="510"/>
      <c r="B36" s="593"/>
      <c r="C36" s="592" t="s">
        <v>19</v>
      </c>
      <c r="D36" s="606" t="s">
        <v>22</v>
      </c>
      <c r="E36" s="40"/>
      <c r="F36" s="40"/>
      <c r="G36" s="40">
        <v>0</v>
      </c>
      <c r="H36" s="40"/>
      <c r="I36" s="21"/>
      <c r="J36" s="570">
        <f>$F36*J$4</f>
        <v>0</v>
      </c>
      <c r="K36" s="570">
        <f>$F36*K$4</f>
        <v>0</v>
      </c>
      <c r="L36" s="570">
        <f>$F36*L$4</f>
        <v>0</v>
      </c>
      <c r="M36" s="570">
        <f>$F36*M$4</f>
        <v>0</v>
      </c>
      <c r="N36" s="570">
        <f>$F36*N$4</f>
        <v>0</v>
      </c>
      <c r="O36" s="21"/>
      <c r="P36" s="450"/>
      <c r="Q36" s="590"/>
      <c r="R36" s="573"/>
      <c r="S36" s="590"/>
      <c r="T36" s="591"/>
      <c r="U36" s="163"/>
      <c r="V36" s="232"/>
      <c r="W36" s="210"/>
      <c r="X36" s="210"/>
      <c r="Y36" s="210"/>
      <c r="Z36" s="210"/>
      <c r="AA36" s="210"/>
      <c r="AB36" s="210"/>
      <c r="AC36" s="194"/>
      <c r="AD36" s="190"/>
      <c r="AE36" s="203"/>
    </row>
    <row r="37" spans="1:31" ht="23.25" customHeight="1" thickBot="1">
      <c r="A37" s="510"/>
      <c r="B37" s="522"/>
      <c r="C37" s="545"/>
      <c r="D37" s="617"/>
      <c r="E37" s="22"/>
      <c r="F37" s="22"/>
      <c r="G37" s="22">
        <v>0</v>
      </c>
      <c r="H37" s="22"/>
      <c r="I37" s="21"/>
      <c r="J37" s="585"/>
      <c r="K37" s="585"/>
      <c r="L37" s="585"/>
      <c r="M37" s="585"/>
      <c r="N37" s="585"/>
      <c r="O37" s="23"/>
      <c r="P37" s="451"/>
      <c r="Q37" s="545"/>
      <c r="R37" s="554"/>
      <c r="S37" s="545"/>
      <c r="T37" s="566"/>
      <c r="U37" s="54"/>
      <c r="V37" s="234"/>
      <c r="W37" s="230"/>
      <c r="X37" s="230"/>
      <c r="Y37" s="213"/>
      <c r="Z37" s="213"/>
      <c r="AA37" s="213"/>
      <c r="AB37" s="213"/>
      <c r="AC37" s="280"/>
      <c r="AD37" s="191"/>
      <c r="AE37" s="203">
        <f>SUM(V34:AB37)+Q34</f>
        <v>11.883720930232558</v>
      </c>
    </row>
    <row r="38" spans="1:31" ht="15.75" customHeight="1" thickTop="1">
      <c r="B38" s="516" t="s">
        <v>36</v>
      </c>
      <c r="C38" s="516"/>
      <c r="D38" s="516"/>
      <c r="J38" s="514">
        <f>SUM(J10:J37)</f>
        <v>9018</v>
      </c>
      <c r="K38" s="514">
        <f>SUM(K10:K37)</f>
        <v>5376.732</v>
      </c>
      <c r="L38" s="514">
        <f>SUM(L10:L37)</f>
        <v>5368.7160000000003</v>
      </c>
      <c r="M38" s="514">
        <f>SUM(M10:M37)</f>
        <v>276.55200000000002</v>
      </c>
      <c r="N38" s="514">
        <f>SUM(N10:N37)</f>
        <v>0</v>
      </c>
      <c r="Q38" s="83"/>
      <c r="AD38" s="192"/>
    </row>
    <row r="39" spans="1:31" ht="21" customHeight="1">
      <c r="B39" s="517"/>
      <c r="C39" s="517"/>
      <c r="D39" s="517"/>
      <c r="E39" s="59">
        <f>SUM(E11:E37)</f>
        <v>0</v>
      </c>
      <c r="F39" s="60">
        <f>SUM(F10:F36)</f>
        <v>0</v>
      </c>
      <c r="G39" s="61">
        <f t="shared" ref="G39:O39" si="12">SUM(G11:G37)</f>
        <v>20040</v>
      </c>
      <c r="H39" s="62">
        <f t="shared" si="12"/>
        <v>0</v>
      </c>
      <c r="I39" s="55"/>
      <c r="J39" s="515"/>
      <c r="K39" s="515"/>
      <c r="L39" s="515"/>
      <c r="M39" s="515"/>
      <c r="N39" s="515"/>
      <c r="O39" s="55">
        <f t="shared" si="12"/>
        <v>0</v>
      </c>
      <c r="Q39" s="80">
        <f t="shared" ref="Q39:U39" si="13">SUM(Q10:Q37)</f>
        <v>46.604651162790695</v>
      </c>
      <c r="R39" s="80"/>
      <c r="S39" s="80"/>
      <c r="T39" s="81" t="s">
        <v>35</v>
      </c>
      <c r="U39" s="80">
        <f t="shared" si="13"/>
        <v>35.720930232558139</v>
      </c>
      <c r="V39" s="80">
        <f>SUM(V10:V37)</f>
        <v>3</v>
      </c>
      <c r="W39" s="80">
        <f t="shared" ref="W39:AE39" si="14">SUM(W10:W37)</f>
        <v>0</v>
      </c>
      <c r="X39" s="80">
        <f t="shared" si="14"/>
        <v>0</v>
      </c>
      <c r="Y39" s="80">
        <f t="shared" si="14"/>
        <v>0</v>
      </c>
      <c r="Z39" s="80">
        <f t="shared" si="14"/>
        <v>95.5</v>
      </c>
      <c r="AA39" s="80">
        <f t="shared" si="14"/>
        <v>0</v>
      </c>
      <c r="AB39" s="80">
        <f t="shared" si="14"/>
        <v>0</v>
      </c>
      <c r="AC39" s="80">
        <f t="shared" si="14"/>
        <v>0</v>
      </c>
      <c r="AD39" s="55" t="s">
        <v>29</v>
      </c>
      <c r="AE39" s="348">
        <f t="shared" si="14"/>
        <v>145.1046511627907</v>
      </c>
    </row>
    <row r="40" spans="1:31" ht="23.25">
      <c r="C40" s="56" t="s">
        <v>30</v>
      </c>
      <c r="D40" s="57"/>
      <c r="E40" s="595">
        <f>E39+F39+G39+H39</f>
        <v>20040</v>
      </c>
      <c r="F40" s="595"/>
      <c r="G40" s="595"/>
      <c r="H40" s="595"/>
      <c r="Q40" s="264"/>
      <c r="R40" s="245">
        <f>AVERAGE(R10:R37)</f>
        <v>0.3421926910299003</v>
      </c>
      <c r="S40" s="262"/>
      <c r="U40" s="78"/>
      <c r="V40" s="78"/>
      <c r="W40" s="78"/>
      <c r="X40" s="173"/>
      <c r="Y40" s="164"/>
      <c r="Z40" s="164"/>
      <c r="AA40" s="164"/>
      <c r="AB40" s="164">
        <f>Q39+V39+W39+X39+Y39+Z39+AA39+AB39</f>
        <v>145.1046511627907</v>
      </c>
      <c r="AC40" s="164"/>
      <c r="AD40" s="267"/>
    </row>
    <row r="41" spans="1:31" ht="18.75" customHeight="1">
      <c r="Q41" s="76" t="s">
        <v>34</v>
      </c>
      <c r="S41" s="559">
        <f>P45*P46*P47</f>
        <v>0.31597222222222221</v>
      </c>
      <c r="T41" s="559"/>
    </row>
    <row r="42" spans="1:31" ht="23.25">
      <c r="F42">
        <f>E40/(D5*5.5)</f>
        <v>0.35306553911205074</v>
      </c>
      <c r="R42" s="76" t="s">
        <v>33</v>
      </c>
      <c r="U42" s="75">
        <f>V39/E3</f>
        <v>1.7857142857142856E-2</v>
      </c>
      <c r="V42" s="268">
        <f>V39/$E$4</f>
        <v>2.0833333333333332E-2</v>
      </c>
      <c r="W42" s="269">
        <f t="shared" ref="W42:AC42" si="15">W39/$E$4</f>
        <v>0</v>
      </c>
      <c r="X42" s="269">
        <f t="shared" si="15"/>
        <v>0</v>
      </c>
      <c r="Y42" s="269">
        <f t="shared" si="15"/>
        <v>0</v>
      </c>
      <c r="Z42" s="269">
        <f t="shared" si="15"/>
        <v>0.66319444444444442</v>
      </c>
      <c r="AA42" s="270">
        <f t="shared" si="15"/>
        <v>0</v>
      </c>
      <c r="AB42" s="270">
        <f t="shared" si="15"/>
        <v>0</v>
      </c>
      <c r="AC42" s="270">
        <f t="shared" si="15"/>
        <v>0</v>
      </c>
    </row>
    <row r="43" spans="1:31">
      <c r="E43" s="72"/>
      <c r="G43" s="598"/>
      <c r="H43" s="5"/>
    </row>
    <row r="44" spans="1:31">
      <c r="E44" s="72"/>
      <c r="G44" s="598"/>
      <c r="H44" s="5"/>
    </row>
    <row r="45" spans="1:31" ht="15.75">
      <c r="D45" s="72" t="s">
        <v>103</v>
      </c>
      <c r="E45">
        <v>144</v>
      </c>
      <c r="G45" s="180" t="s">
        <v>70</v>
      </c>
      <c r="M45"/>
      <c r="P45" s="176">
        <f>+E46/E45</f>
        <v>1</v>
      </c>
      <c r="T45" s="596"/>
      <c r="U45" s="596"/>
      <c r="V45" s="596"/>
      <c r="Z45" s="422"/>
    </row>
    <row r="46" spans="1:31" ht="15.75">
      <c r="D46" s="72" t="s">
        <v>69</v>
      </c>
      <c r="E46" s="71">
        <f>E45-W39</f>
        <v>144</v>
      </c>
      <c r="G46" s="180" t="s">
        <v>71</v>
      </c>
      <c r="M46"/>
      <c r="P46" s="176">
        <f>+E47/E46</f>
        <v>0.31597222222222221</v>
      </c>
      <c r="T46" s="597"/>
      <c r="U46" s="597"/>
      <c r="V46" s="597"/>
      <c r="AD46" s="421"/>
    </row>
    <row r="47" spans="1:31" ht="15.75">
      <c r="D47" s="72" t="s">
        <v>68</v>
      </c>
      <c r="E47" s="71">
        <f>+E46-Z39-AA39-V39-Y39-AB39</f>
        <v>45.5</v>
      </c>
      <c r="G47" s="180" t="s">
        <v>104</v>
      </c>
      <c r="L47"/>
      <c r="M47"/>
      <c r="P47" s="176">
        <f>+E48/E47</f>
        <v>1</v>
      </c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31">
      <c r="D48" s="72" t="s">
        <v>72</v>
      </c>
      <c r="E48" s="71">
        <f>E47-X39</f>
        <v>45.5</v>
      </c>
      <c r="L48" s="69"/>
      <c r="M48" s="177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7:29" ht="15.75">
      <c r="G49" s="180"/>
      <c r="H49" s="67"/>
      <c r="J49"/>
      <c r="K49" s="66"/>
      <c r="L49"/>
      <c r="M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7:29">
      <c r="H50" s="67"/>
      <c r="J50"/>
      <c r="K50" s="66"/>
      <c r="L50"/>
      <c r="M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7:29">
      <c r="H51" s="66"/>
      <c r="J51"/>
      <c r="K51"/>
      <c r="L51"/>
      <c r="M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7:29">
      <c r="J52"/>
      <c r="L52" s="73"/>
      <c r="M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7:29">
      <c r="J53"/>
      <c r="M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7:29">
      <c r="J54"/>
      <c r="L54" s="73"/>
    </row>
    <row r="55" spans="7:29" ht="18">
      <c r="H55" s="58"/>
    </row>
    <row r="56" spans="7:29">
      <c r="L56" s="178"/>
    </row>
    <row r="57" spans="7:29" ht="18">
      <c r="H57" s="58"/>
    </row>
  </sheetData>
  <mergeCells count="205">
    <mergeCell ref="P1:W1"/>
    <mergeCell ref="G3:H3"/>
    <mergeCell ref="G4:H4"/>
    <mergeCell ref="G5:H5"/>
    <mergeCell ref="G6:H6"/>
    <mergeCell ref="B8:B9"/>
    <mergeCell ref="C8:C9"/>
    <mergeCell ref="D8:D9"/>
    <mergeCell ref="E8:H8"/>
    <mergeCell ref="J8:N8"/>
    <mergeCell ref="O8:O9"/>
    <mergeCell ref="R8:R9"/>
    <mergeCell ref="S8:T8"/>
    <mergeCell ref="B10:B13"/>
    <mergeCell ref="C10:C11"/>
    <mergeCell ref="F10:F11"/>
    <mergeCell ref="J10:J11"/>
    <mergeCell ref="K10:K11"/>
    <mergeCell ref="L10:L11"/>
    <mergeCell ref="T10:T13"/>
    <mergeCell ref="A11:A13"/>
    <mergeCell ref="U11:U13"/>
    <mergeCell ref="C12:C13"/>
    <mergeCell ref="D12:D13"/>
    <mergeCell ref="F12:F13"/>
    <mergeCell ref="J12:J13"/>
    <mergeCell ref="K12:K13"/>
    <mergeCell ref="L12:L13"/>
    <mergeCell ref="M12:M13"/>
    <mergeCell ref="M10:M11"/>
    <mergeCell ref="N10:N11"/>
    <mergeCell ref="P10:P13"/>
    <mergeCell ref="Q10:Q13"/>
    <mergeCell ref="R10:R13"/>
    <mergeCell ref="S10:S13"/>
    <mergeCell ref="N12:N13"/>
    <mergeCell ref="U15:U17"/>
    <mergeCell ref="J14:J15"/>
    <mergeCell ref="K14:K15"/>
    <mergeCell ref="L14:L15"/>
    <mergeCell ref="M14:M15"/>
    <mergeCell ref="N14:N15"/>
    <mergeCell ref="O14:O17"/>
    <mergeCell ref="J16:J17"/>
    <mergeCell ref="K16:K17"/>
    <mergeCell ref="L16:L17"/>
    <mergeCell ref="M16:M17"/>
    <mergeCell ref="A18:A21"/>
    <mergeCell ref="B18:B21"/>
    <mergeCell ref="C18:C19"/>
    <mergeCell ref="D18:D19"/>
    <mergeCell ref="I18:I21"/>
    <mergeCell ref="J18:J19"/>
    <mergeCell ref="K18:K19"/>
    <mergeCell ref="L18:L19"/>
    <mergeCell ref="P14:P17"/>
    <mergeCell ref="A14:A17"/>
    <mergeCell ref="B14:B17"/>
    <mergeCell ref="C14:C15"/>
    <mergeCell ref="D14:D15"/>
    <mergeCell ref="I14:I17"/>
    <mergeCell ref="C16:C17"/>
    <mergeCell ref="D16:D17"/>
    <mergeCell ref="C20:C21"/>
    <mergeCell ref="D20:D21"/>
    <mergeCell ref="J20:J21"/>
    <mergeCell ref="K20:K21"/>
    <mergeCell ref="L20:L21"/>
    <mergeCell ref="M20:M21"/>
    <mergeCell ref="M18:M19"/>
    <mergeCell ref="N18:N19"/>
    <mergeCell ref="O18:O21"/>
    <mergeCell ref="N20:N21"/>
    <mergeCell ref="A23:A25"/>
    <mergeCell ref="U23:U25"/>
    <mergeCell ref="C24:C25"/>
    <mergeCell ref="D24:D25"/>
    <mergeCell ref="B26:B29"/>
    <mergeCell ref="C26:C27"/>
    <mergeCell ref="D26:D27"/>
    <mergeCell ref="E26:E27"/>
    <mergeCell ref="F26:F27"/>
    <mergeCell ref="N22:N23"/>
    <mergeCell ref="O22:O25"/>
    <mergeCell ref="P22:P25"/>
    <mergeCell ref="Q22:Q25"/>
    <mergeCell ref="R22:R25"/>
    <mergeCell ref="S22:S25"/>
    <mergeCell ref="H22:H23"/>
    <mergeCell ref="I22:I23"/>
    <mergeCell ref="J22:J23"/>
    <mergeCell ref="K22:K23"/>
    <mergeCell ref="L22:L23"/>
    <mergeCell ref="M22:M23"/>
    <mergeCell ref="B22:B25"/>
    <mergeCell ref="C22:C23"/>
    <mergeCell ref="D22:D23"/>
    <mergeCell ref="A27:A29"/>
    <mergeCell ref="U27:U29"/>
    <mergeCell ref="C28:C29"/>
    <mergeCell ref="D28:D29"/>
    <mergeCell ref="E28:E29"/>
    <mergeCell ref="J28:J29"/>
    <mergeCell ref="K28:K29"/>
    <mergeCell ref="L28:L29"/>
    <mergeCell ref="M28:M29"/>
    <mergeCell ref="F28:F29"/>
    <mergeCell ref="N26:N27"/>
    <mergeCell ref="P26:P29"/>
    <mergeCell ref="Q26:Q29"/>
    <mergeCell ref="R26:R29"/>
    <mergeCell ref="S26:S29"/>
    <mergeCell ref="T26:T29"/>
    <mergeCell ref="G26:G27"/>
    <mergeCell ref="H26:H27"/>
    <mergeCell ref="J26:J27"/>
    <mergeCell ref="K26:K27"/>
    <mergeCell ref="L26:L27"/>
    <mergeCell ref="M26:M27"/>
    <mergeCell ref="A31:A33"/>
    <mergeCell ref="U31:U33"/>
    <mergeCell ref="C32:C33"/>
    <mergeCell ref="D32:D33"/>
    <mergeCell ref="E32:E33"/>
    <mergeCell ref="J32:J33"/>
    <mergeCell ref="K32:K33"/>
    <mergeCell ref="L32:L33"/>
    <mergeCell ref="M32:M33"/>
    <mergeCell ref="N30:N31"/>
    <mergeCell ref="O30:O31"/>
    <mergeCell ref="P30:P33"/>
    <mergeCell ref="Q30:Q33"/>
    <mergeCell ref="R30:R33"/>
    <mergeCell ref="S30:S33"/>
    <mergeCell ref="N32:N33"/>
    <mergeCell ref="H30:H31"/>
    <mergeCell ref="I30:I31"/>
    <mergeCell ref="J30:J31"/>
    <mergeCell ref="K30:K31"/>
    <mergeCell ref="L30:L31"/>
    <mergeCell ref="M30:M31"/>
    <mergeCell ref="B30:B33"/>
    <mergeCell ref="C30:C31"/>
    <mergeCell ref="A35:A37"/>
    <mergeCell ref="C36:C37"/>
    <mergeCell ref="D36:D37"/>
    <mergeCell ref="J36:J37"/>
    <mergeCell ref="K36:K37"/>
    <mergeCell ref="L36:L37"/>
    <mergeCell ref="M36:M37"/>
    <mergeCell ref="N36:N37"/>
    <mergeCell ref="B34:B37"/>
    <mergeCell ref="C34:C35"/>
    <mergeCell ref="D34:D35"/>
    <mergeCell ref="G34:G35"/>
    <mergeCell ref="J34:J35"/>
    <mergeCell ref="K34:K35"/>
    <mergeCell ref="T46:V46"/>
    <mergeCell ref="E12:E13"/>
    <mergeCell ref="G12:G13"/>
    <mergeCell ref="H12:H13"/>
    <mergeCell ref="I10:I13"/>
    <mergeCell ref="G28:G29"/>
    <mergeCell ref="B38:D39"/>
    <mergeCell ref="J38:J39"/>
    <mergeCell ref="K38:K39"/>
    <mergeCell ref="L38:L39"/>
    <mergeCell ref="M38:M39"/>
    <mergeCell ref="N38:N39"/>
    <mergeCell ref="S34:S37"/>
    <mergeCell ref="T34:T37"/>
    <mergeCell ref="P34:P37"/>
    <mergeCell ref="Q34:Q37"/>
    <mergeCell ref="R34:R37"/>
    <mergeCell ref="T30:T33"/>
    <mergeCell ref="D30:D31"/>
    <mergeCell ref="E30:E31"/>
    <mergeCell ref="F30:F31"/>
    <mergeCell ref="G30:G31"/>
    <mergeCell ref="G32:G33"/>
    <mergeCell ref="F32:F33"/>
    <mergeCell ref="L34:L35"/>
    <mergeCell ref="M34:M35"/>
    <mergeCell ref="N34:N35"/>
    <mergeCell ref="V8:AC8"/>
    <mergeCell ref="G24:G25"/>
    <mergeCell ref="E40:H40"/>
    <mergeCell ref="S41:T41"/>
    <mergeCell ref="G43:G44"/>
    <mergeCell ref="T45:V45"/>
    <mergeCell ref="T22:T25"/>
    <mergeCell ref="E22:E23"/>
    <mergeCell ref="F22:F23"/>
    <mergeCell ref="G22:G23"/>
    <mergeCell ref="S18:S21"/>
    <mergeCell ref="T18:T21"/>
    <mergeCell ref="U19:U21"/>
    <mergeCell ref="P18:P21"/>
    <mergeCell ref="Q18:Q21"/>
    <mergeCell ref="R18:R21"/>
    <mergeCell ref="N16:N17"/>
    <mergeCell ref="Q14:Q17"/>
    <mergeCell ref="R14:R17"/>
    <mergeCell ref="S14:S17"/>
    <mergeCell ref="T14:T17"/>
  </mergeCells>
  <pageMargins left="0.70866141732283472" right="0.70866141732283472" top="0.54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TRS Hebdo</vt:lpstr>
      <vt:lpstr>22 mai - 28 mai </vt:lpstr>
      <vt:lpstr>29 mai - 04 juin </vt:lpstr>
      <vt:lpstr>05 Juin - 11 Juin </vt:lpstr>
      <vt:lpstr>12 Juin - 18 Juin </vt:lpstr>
      <vt:lpstr>19 Juin - 25 Juin</vt:lpstr>
      <vt:lpstr>26 Juin - 02 Juil  </vt:lpstr>
      <vt:lpstr>03 Juil - 09 Juil</vt:lpstr>
      <vt:lpstr>10 Juil - 16 Juil </vt:lpstr>
      <vt:lpstr>Feuil2</vt:lpstr>
      <vt:lpstr>Feuil2!Zone_d_impression</vt:lpstr>
      <vt:lpstr>'TRS Hebdo'!Zone_d_impression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Rachid  AACHIQ.</dc:creator>
  <cp:lastModifiedBy>A.AFOUKASS</cp:lastModifiedBy>
  <cp:lastPrinted>2017-07-05T10:44:00Z</cp:lastPrinted>
  <dcterms:created xsi:type="dcterms:W3CDTF">2017-05-29T15:35:26Z</dcterms:created>
  <dcterms:modified xsi:type="dcterms:W3CDTF">2021-08-20T08:12:43Z</dcterms:modified>
</cp:coreProperties>
</file>