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720" yWindow="615" windowWidth="23175" windowHeight="8985" tabRatio="740" activeTab="2"/>
  </bookViews>
  <sheets>
    <sheet name="TC" sheetId="4" r:id="rId1"/>
    <sheet name="Dec" sheetId="21" r:id="rId2"/>
    <sheet name="Feuil1" sheetId="22" r:id="rId3"/>
  </sheets>
  <definedNames>
    <definedName name="LISTE">TC!$B$6:$B$40</definedName>
    <definedName name="_xlnm.Print_Area" localSheetId="0">TC!$B$2:$I$40</definedName>
  </definedNames>
  <calcPr calcId="124519"/>
</workbook>
</file>

<file path=xl/calcChain.xml><?xml version="1.0" encoding="utf-8"?>
<calcChain xmlns="http://schemas.openxmlformats.org/spreadsheetml/2006/main">
  <c r="G58" i="21"/>
  <c r="H58"/>
  <c r="F58"/>
  <c r="G55"/>
  <c r="I55" s="1"/>
  <c r="H55"/>
  <c r="B55"/>
  <c r="G52"/>
  <c r="H52"/>
  <c r="F52"/>
  <c r="K52" s="1"/>
  <c r="X52" s="1"/>
  <c r="Y52" s="1"/>
  <c r="G51"/>
  <c r="I51" s="1"/>
  <c r="H51"/>
  <c r="G50"/>
  <c r="G49"/>
  <c r="I49" s="1"/>
  <c r="H50"/>
  <c r="I50" s="1"/>
  <c r="H49"/>
  <c r="G47"/>
  <c r="I47" s="1"/>
  <c r="H47"/>
  <c r="G46"/>
  <c r="H46"/>
  <c r="F46"/>
  <c r="G44"/>
  <c r="H44"/>
  <c r="G43"/>
  <c r="H43"/>
  <c r="F43"/>
  <c r="I40"/>
  <c r="H40"/>
  <c r="G40"/>
  <c r="P34"/>
  <c r="P37"/>
  <c r="I37"/>
  <c r="H37"/>
  <c r="G37"/>
  <c r="I34"/>
  <c r="H34"/>
  <c r="G34"/>
  <c r="P31"/>
  <c r="I31"/>
  <c r="H31"/>
  <c r="G31"/>
  <c r="H19"/>
  <c r="I19" s="1"/>
  <c r="P19"/>
  <c r="G19"/>
  <c r="G13"/>
  <c r="I13" s="1"/>
  <c r="H13"/>
  <c r="H10"/>
  <c r="H9"/>
  <c r="I9" s="1"/>
  <c r="H8"/>
  <c r="I8" s="1"/>
  <c r="H7"/>
  <c r="G10"/>
  <c r="F10"/>
  <c r="F9"/>
  <c r="F8"/>
  <c r="G7"/>
  <c r="F7"/>
  <c r="B13"/>
  <c r="B19" s="1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K115" s="1"/>
  <c r="X115" s="1"/>
  <c r="Y115" s="1"/>
  <c r="F114"/>
  <c r="F113"/>
  <c r="F112"/>
  <c r="K112" s="1"/>
  <c r="X112" s="1"/>
  <c r="Y112" s="1"/>
  <c r="F111"/>
  <c r="F110"/>
  <c r="F109"/>
  <c r="F108"/>
  <c r="F107"/>
  <c r="F106"/>
  <c r="F105"/>
  <c r="F104"/>
  <c r="F103"/>
  <c r="K103" s="1"/>
  <c r="X103" s="1"/>
  <c r="Y103" s="1"/>
  <c r="F102"/>
  <c r="F101"/>
  <c r="F100"/>
  <c r="K100" s="1"/>
  <c r="X100" s="1"/>
  <c r="Y100" s="1"/>
  <c r="F99"/>
  <c r="F98"/>
  <c r="F97"/>
  <c r="F96"/>
  <c r="F95"/>
  <c r="F94"/>
  <c r="F93"/>
  <c r="F92"/>
  <c r="F91"/>
  <c r="K91" s="1"/>
  <c r="X91" s="1"/>
  <c r="Y91" s="1"/>
  <c r="F90"/>
  <c r="F89"/>
  <c r="F88"/>
  <c r="K88" s="1"/>
  <c r="X88" s="1"/>
  <c r="Y88" s="1"/>
  <c r="F87"/>
  <c r="F86"/>
  <c r="F85"/>
  <c r="F84"/>
  <c r="F83"/>
  <c r="F82"/>
  <c r="F81"/>
  <c r="F80"/>
  <c r="F79"/>
  <c r="K79" s="1"/>
  <c r="X79" s="1"/>
  <c r="Y79" s="1"/>
  <c r="F78"/>
  <c r="F77"/>
  <c r="F76"/>
  <c r="K76" s="1"/>
  <c r="X76" s="1"/>
  <c r="Y76" s="1"/>
  <c r="F75"/>
  <c r="F74"/>
  <c r="F73"/>
  <c r="F72"/>
  <c r="F71"/>
  <c r="F70"/>
  <c r="F69"/>
  <c r="F68"/>
  <c r="F67"/>
  <c r="K67" s="1"/>
  <c r="X67" s="1"/>
  <c r="Y67" s="1"/>
  <c r="F66"/>
  <c r="F65"/>
  <c r="F64"/>
  <c r="K64" s="1"/>
  <c r="X64" s="1"/>
  <c r="Y64" s="1"/>
  <c r="F63"/>
  <c r="F62"/>
  <c r="F61"/>
  <c r="F60"/>
  <c r="F59"/>
  <c r="F57"/>
  <c r="F55"/>
  <c r="F54"/>
  <c r="F53"/>
  <c r="F51"/>
  <c r="F50"/>
  <c r="F49"/>
  <c r="F48"/>
  <c r="F47"/>
  <c r="F45"/>
  <c r="F44"/>
  <c r="F42"/>
  <c r="F41"/>
  <c r="F40"/>
  <c r="F39"/>
  <c r="F38"/>
  <c r="F37"/>
  <c r="F36"/>
  <c r="F35"/>
  <c r="F34"/>
  <c r="F33"/>
  <c r="F32"/>
  <c r="F31"/>
  <c r="K31" s="1"/>
  <c r="F30"/>
  <c r="F29"/>
  <c r="F28"/>
  <c r="K28" s="1"/>
  <c r="X28" s="1"/>
  <c r="Y28" s="1"/>
  <c r="F27"/>
  <c r="F26"/>
  <c r="F25"/>
  <c r="F24"/>
  <c r="F23"/>
  <c r="F22"/>
  <c r="F21"/>
  <c r="F20"/>
  <c r="F19"/>
  <c r="F18"/>
  <c r="F17"/>
  <c r="F16"/>
  <c r="K16" s="1"/>
  <c r="X16" s="1"/>
  <c r="Y16" s="1"/>
  <c r="F15"/>
  <c r="F14"/>
  <c r="F13"/>
  <c r="F12"/>
  <c r="F11"/>
  <c r="K7"/>
  <c r="X7" s="1"/>
  <c r="Y7" s="1"/>
  <c r="F46" i="4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6"/>
  <c r="C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6"/>
  <c r="I58" i="21" l="1"/>
  <c r="K55"/>
  <c r="X55" s="1"/>
  <c r="Y55" s="1"/>
  <c r="I52"/>
  <c r="I46"/>
  <c r="I44"/>
  <c r="K43"/>
  <c r="X43" s="1"/>
  <c r="Y43" s="1"/>
  <c r="I43"/>
  <c r="K40"/>
  <c r="X40" s="1"/>
  <c r="Y40" s="1"/>
  <c r="X31"/>
  <c r="Y31" s="1"/>
  <c r="K19"/>
  <c r="X19" s="1"/>
  <c r="Y19" s="1"/>
  <c r="K13"/>
  <c r="X13" s="1"/>
  <c r="Y13" s="1"/>
  <c r="K25"/>
  <c r="X25" s="1"/>
  <c r="Y25" s="1"/>
  <c r="K37"/>
  <c r="X37" s="1"/>
  <c r="Y37" s="1"/>
  <c r="K49"/>
  <c r="X49" s="1"/>
  <c r="Y49" s="1"/>
  <c r="K61"/>
  <c r="X61" s="1"/>
  <c r="Y61" s="1"/>
  <c r="K73"/>
  <c r="X73" s="1"/>
  <c r="Y73" s="1"/>
  <c r="K85"/>
  <c r="X85" s="1"/>
  <c r="Y85" s="1"/>
  <c r="K97"/>
  <c r="X97" s="1"/>
  <c r="Y97" s="1"/>
  <c r="K109"/>
  <c r="X109" s="1"/>
  <c r="Y109" s="1"/>
  <c r="K121"/>
  <c r="X121" s="1"/>
  <c r="Y121" s="1"/>
  <c r="K127"/>
  <c r="X127" s="1"/>
  <c r="Y127" s="1"/>
  <c r="K124"/>
  <c r="X124" s="1"/>
  <c r="Y124" s="1"/>
  <c r="K136"/>
  <c r="X136" s="1"/>
  <c r="Y136" s="1"/>
  <c r="K133"/>
  <c r="X133" s="1"/>
  <c r="Y133" s="1"/>
  <c r="K139"/>
  <c r="X139" s="1"/>
  <c r="Y139" s="1"/>
  <c r="B25"/>
  <c r="B31" s="1"/>
  <c r="B37" s="1"/>
  <c r="B43" s="1"/>
  <c r="B49" s="1"/>
  <c r="B61" s="1"/>
  <c r="B67" s="1"/>
  <c r="B73" s="1"/>
  <c r="B79" s="1"/>
  <c r="B85" s="1"/>
  <c r="B91" s="1"/>
  <c r="B97" s="1"/>
  <c r="B103" s="1"/>
  <c r="B109" s="1"/>
  <c r="B115" s="1"/>
  <c r="B121" s="1"/>
  <c r="B127" s="1"/>
  <c r="B133" s="1"/>
  <c r="B139" s="1"/>
  <c r="I10"/>
  <c r="I7"/>
  <c r="K10"/>
  <c r="X10" s="1"/>
  <c r="Y10" s="1"/>
  <c r="K22"/>
  <c r="X22" s="1"/>
  <c r="Y22" s="1"/>
  <c r="K34"/>
  <c r="X34" s="1"/>
  <c r="Y34" s="1"/>
  <c r="K46"/>
  <c r="X46" s="1"/>
  <c r="Y46" s="1"/>
  <c r="K58"/>
  <c r="X58" s="1"/>
  <c r="Y58" s="1"/>
  <c r="K70"/>
  <c r="X70" s="1"/>
  <c r="Y70" s="1"/>
  <c r="K82"/>
  <c r="X82" s="1"/>
  <c r="Y82" s="1"/>
  <c r="K94"/>
  <c r="X94" s="1"/>
  <c r="Y94" s="1"/>
  <c r="K106"/>
  <c r="X106" s="1"/>
  <c r="Y106" s="1"/>
  <c r="K118"/>
  <c r="X118" s="1"/>
  <c r="Y118" s="1"/>
  <c r="K130"/>
  <c r="X130" s="1"/>
  <c r="Y130" s="1"/>
  <c r="K142"/>
  <c r="X142" s="1"/>
  <c r="Y142" s="1"/>
  <c r="C26" i="4"/>
  <c r="H146" i="21" l="1"/>
  <c r="Y146"/>
  <c r="C30" i="4"/>
  <c r="C12" l="1"/>
  <c r="E34"/>
  <c r="C38"/>
  <c r="E33" l="1"/>
  <c r="C34"/>
  <c r="C32" l="1"/>
  <c r="C31"/>
  <c r="E13" l="1"/>
  <c r="C7" l="1"/>
  <c r="C8"/>
  <c r="C9"/>
  <c r="C11"/>
  <c r="C13"/>
  <c r="E14"/>
  <c r="C14" s="1"/>
  <c r="C15"/>
  <c r="E16"/>
  <c r="C16" s="1"/>
  <c r="E17"/>
  <c r="C17" s="1"/>
  <c r="E18"/>
  <c r="C18" s="1"/>
  <c r="E19"/>
  <c r="C19" s="1"/>
  <c r="C20"/>
  <c r="C21"/>
  <c r="C22"/>
  <c r="C23"/>
  <c r="C24"/>
  <c r="C25"/>
  <c r="C27"/>
  <c r="C28"/>
  <c r="C29"/>
  <c r="C33"/>
  <c r="C35"/>
  <c r="C37"/>
  <c r="C39"/>
  <c r="C36"/>
  <c r="C10"/>
  <c r="C40"/>
</calcChain>
</file>

<file path=xl/comments1.xml><?xml version="1.0" encoding="utf-8"?>
<comments xmlns="http://schemas.openxmlformats.org/spreadsheetml/2006/main">
  <authors>
    <author>Rachid  AACHIQ.</author>
    <author>A.AFOUKASS</author>
  </authors>
  <commentList>
    <comment ref="U13" authorId="0">
      <text>
        <r>
          <rPr>
            <b/>
            <sz val="9"/>
            <color indexed="81"/>
            <rFont val="Tahoma"/>
            <family val="2"/>
          </rPr>
          <t>Chgt de poste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5" authorId="0">
      <text>
        <r>
          <rPr>
            <b/>
            <sz val="9"/>
            <color indexed="81"/>
            <rFont val="Tahoma"/>
            <family val="2"/>
          </rPr>
          <t>Attente contôle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31" authorId="0">
      <text>
        <r>
          <rPr>
            <b/>
            <sz val="9"/>
            <color indexed="81"/>
            <rFont val="Tahoma"/>
            <family val="2"/>
          </rPr>
          <t>chgt de poste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0" authorId="0">
      <text>
        <r>
          <rPr>
            <b/>
            <sz val="9"/>
            <color indexed="81"/>
            <rFont val="Tahoma"/>
            <family val="2"/>
          </rPr>
          <t>Cass fil 5 fois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3" authorId="0">
      <text>
        <r>
          <rPr>
            <b/>
            <sz val="9"/>
            <color indexed="81"/>
            <rFont val="Tahoma"/>
            <family val="2"/>
          </rPr>
          <t>3 fois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9" authorId="1">
      <text>
        <r>
          <rPr>
            <b/>
            <sz val="9"/>
            <color indexed="81"/>
            <rFont val="Tahoma"/>
            <family val="2"/>
          </rPr>
          <t>A.AFOUKASS:</t>
        </r>
        <r>
          <rPr>
            <sz val="9"/>
            <color indexed="81"/>
            <rFont val="Tahoma"/>
            <family val="2"/>
          </rPr>
          <t xml:space="preserve">
LES ESSAIS RECUISEUR ET SECTION 0,9
</t>
        </r>
      </text>
    </comment>
    <comment ref="P55" authorId="0">
      <text>
        <r>
          <rPr>
            <b/>
            <sz val="9"/>
            <color indexed="81"/>
            <rFont val="Tahoma"/>
            <family val="2"/>
          </rPr>
          <t>Moteur principal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58" authorId="0">
      <text>
        <r>
          <rPr>
            <b/>
            <sz val="9"/>
            <color indexed="81"/>
            <rFont val="Tahoma"/>
            <family val="2"/>
          </rPr>
          <t>Chgt de poste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1" authorId="0">
      <text>
        <r>
          <rPr>
            <b/>
            <sz val="9"/>
            <color indexed="81"/>
            <rFont val="Tahoma"/>
            <family val="2"/>
          </rPr>
          <t>Ventillation variateur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4" authorId="0">
      <text>
        <r>
          <rPr>
            <b/>
            <sz val="9"/>
            <color indexed="81"/>
            <rFont val="Tahoma"/>
            <family val="2"/>
          </rPr>
          <t xml:space="preserve">Pb de pompe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64" authorId="0">
      <text>
        <r>
          <rPr>
            <b/>
            <sz val="9"/>
            <color indexed="81"/>
            <rFont val="Tahoma"/>
            <family val="2"/>
          </rPr>
          <t>4 X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7" authorId="0">
      <text>
        <r>
          <rPr>
            <b/>
            <sz val="9"/>
            <color indexed="81"/>
            <rFont val="Tahoma"/>
            <family val="2"/>
          </rPr>
          <t>Ventillation variateur + Alarme 81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70" authorId="0">
      <text>
        <r>
          <rPr>
            <b/>
            <sz val="9"/>
            <color indexed="81"/>
            <rFont val="Tahoma"/>
            <family val="2"/>
          </rPr>
          <t>Alarme 81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73" authorId="0">
      <text>
        <r>
          <rPr>
            <b/>
            <sz val="9"/>
            <color indexed="81"/>
            <rFont val="Tahoma"/>
            <family val="2"/>
          </rPr>
          <t>Manque O.F.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<sst xmlns="http://schemas.openxmlformats.org/spreadsheetml/2006/main" count="182" uniqueCount="100">
  <si>
    <t xml:space="preserve">Date </t>
  </si>
  <si>
    <t>Spécif</t>
  </si>
  <si>
    <t>Temps cycle</t>
  </si>
  <si>
    <t>Qté</t>
  </si>
  <si>
    <t>Temps  Fonct.</t>
  </si>
  <si>
    <t>Chgt Section</t>
  </si>
  <si>
    <t>Poste</t>
  </si>
  <si>
    <t>19h-07h</t>
  </si>
  <si>
    <t>07h-19h</t>
  </si>
  <si>
    <t>TOTAL</t>
  </si>
  <si>
    <t>TRS (%)</t>
  </si>
  <si>
    <t>FCUE 1,40</t>
  </si>
  <si>
    <t>FCUE 1,60</t>
  </si>
  <si>
    <t>FCUE 1,80</t>
  </si>
  <si>
    <t>FCUE 2,00</t>
  </si>
  <si>
    <t>FCUE 2,24</t>
  </si>
  <si>
    <t>FCUR 0,68</t>
  </si>
  <si>
    <t>FCUR 0,73</t>
  </si>
  <si>
    <t xml:space="preserve">FCUR 0,90 </t>
  </si>
  <si>
    <t>FCUR 1,09</t>
  </si>
  <si>
    <t>FCUR 1,16</t>
  </si>
  <si>
    <t xml:space="preserve">FCUR 1,18 </t>
  </si>
  <si>
    <t>FCUR 1,23</t>
  </si>
  <si>
    <t>FCUR 1,35</t>
  </si>
  <si>
    <t>FCUR 1,40</t>
  </si>
  <si>
    <t>FCUR 1,54</t>
  </si>
  <si>
    <t>FCUR 1,72</t>
  </si>
  <si>
    <t>FCUR 1,74</t>
  </si>
  <si>
    <t>FCUR 2,00</t>
  </si>
  <si>
    <t>FCUR 2,15</t>
  </si>
  <si>
    <t>FCUR 2,20</t>
  </si>
  <si>
    <t>FCUR 2,76</t>
  </si>
  <si>
    <t>FCUR 2,90</t>
  </si>
  <si>
    <t>FCUR 2,96</t>
  </si>
  <si>
    <t>FCUR 3,15</t>
  </si>
  <si>
    <t>FCUR 2,94</t>
  </si>
  <si>
    <t>FCUE 2,14</t>
  </si>
  <si>
    <t>FCUR 3,45</t>
  </si>
  <si>
    <t>Arrêt planifié</t>
  </si>
  <si>
    <t>Machine : SAMP 1</t>
  </si>
  <si>
    <t>Temps ouvert.</t>
  </si>
  <si>
    <t>Sous-vitesse</t>
  </si>
  <si>
    <t>Opérateur</t>
  </si>
  <si>
    <t>Casse-fil</t>
  </si>
  <si>
    <t>Chgt de BOTTE</t>
  </si>
  <si>
    <t>Poste à Souder</t>
  </si>
  <si>
    <t>FCUR 2,60</t>
  </si>
  <si>
    <t>LUN</t>
  </si>
  <si>
    <t>MAR</t>
  </si>
  <si>
    <t>MER</t>
  </si>
  <si>
    <t>JEU</t>
  </si>
  <si>
    <t>VEN</t>
  </si>
  <si>
    <t>SAM</t>
  </si>
  <si>
    <t>FCUR 1,74 Fût</t>
  </si>
  <si>
    <t xml:space="preserve">Panne </t>
  </si>
  <si>
    <t>Manqu Bobine Vide</t>
  </si>
  <si>
    <t>Poids</t>
  </si>
  <si>
    <t>t</t>
  </si>
  <si>
    <t>Manqu effectif</t>
  </si>
  <si>
    <t>Poids/m</t>
  </si>
  <si>
    <t>Qualité</t>
  </si>
  <si>
    <t>FCUR 2,50</t>
  </si>
  <si>
    <t xml:space="preserve">Autre </t>
  </si>
  <si>
    <t>FCUR 2,80</t>
  </si>
  <si>
    <t>FCUR 3,10</t>
  </si>
  <si>
    <t>FCUE 2,50</t>
  </si>
  <si>
    <t>FCUR 2,45</t>
  </si>
  <si>
    <t>FCUR 1,78</t>
  </si>
  <si>
    <t>MAY</t>
  </si>
  <si>
    <t>JUN</t>
  </si>
  <si>
    <t>Kg/Km</t>
  </si>
  <si>
    <t>Manqu Matière</t>
  </si>
  <si>
    <t>h</t>
  </si>
  <si>
    <t>SAMP 1</t>
  </si>
  <si>
    <t>Spécification</t>
  </si>
  <si>
    <t>Course</t>
  </si>
  <si>
    <t>6,589-5,586-4,673-4,23-3,77-3,3-2,97-2,60-2,29-2,00-1,76-1,40</t>
  </si>
  <si>
    <t>6,589-5,586-4,673-4,23-3,77-3,3-2,97-2,60-2,29-2,00-1,60</t>
  </si>
  <si>
    <t>6,589-5,586-4,673-4,23-3,77-3,3-2,97-2,60-2,29-2,00-1,80</t>
  </si>
  <si>
    <t>6,589-5,586-4,673-4,23-3,77-3,3-2,97-2,60-2,29-2,00</t>
  </si>
  <si>
    <t>6,589-5,586-4,673-4,23-3,77-3,3-2,97-2,60-2,14</t>
  </si>
  <si>
    <t>6,589-5,586-4,673-4,23-3,77-3,3-2,97-2,60-2,24</t>
  </si>
  <si>
    <t>6,589-5,586-4,673-4,23-3,77-3,3-2,97-2,50</t>
  </si>
  <si>
    <t>6,589-5,586-4,672-3,67-3,30-2,972-2,60-2,29-1,76-1,55-1,37-1,16</t>
  </si>
  <si>
    <t>6,589-5,586-4,672-3,67-3,30-2,972-2,60-2,29-1,76-1,55-1,37-1,23</t>
  </si>
  <si>
    <t>6,589-5,586-4,672-3,67-3,30-2,972-2,60-2,29-1,76-1,55-1,35</t>
  </si>
  <si>
    <t>6,589-5,586-4,672-3,67-3,30-2,972-2,60-2,29-1,76-1,54</t>
  </si>
  <si>
    <t>6,589-5,586-4,672-3,67-3,30-2,972-2,60-2,29-1,76</t>
  </si>
  <si>
    <t>6,589-5,586-4,672-3,67-3,30-2,972-2,60-2,29-1,78</t>
  </si>
  <si>
    <t>6,589-5,586-4,673-4,23-3,77-3,3-2,97-2,60-2,15</t>
  </si>
  <si>
    <t>6,589-5,586-4,673-4,23-3,77-3,3-2,97-2,60</t>
  </si>
  <si>
    <t>6,589-5,586-4,673-4,23-3,77-3,3-2,76</t>
  </si>
  <si>
    <t>6,589-5,586-4,673-4,23-3,77-3,3-2,8</t>
  </si>
  <si>
    <t>6,589-5,586-4,673-4,23-3,77-3,3-2,97</t>
  </si>
  <si>
    <t>6,589-5,586-4,673-4,23-3,77-3,3-3,08</t>
  </si>
  <si>
    <t>6,589-5,586-4,673-4,23-3,77-3,15</t>
  </si>
  <si>
    <t>6,589-5,586-4,673-4,23-3,77-3,45</t>
  </si>
  <si>
    <t xml:space="preserve">La course des </t>
  </si>
  <si>
    <t>Vitesse</t>
  </si>
  <si>
    <t>Boite à vitesse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</si>
</sst>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d/m;@"/>
    <numFmt numFmtId="165" formatCode="0.0"/>
    <numFmt numFmtId="166" formatCode="0.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u/>
      <sz val="18"/>
      <color rgb="FFFF0000"/>
      <name val="Arial Black"/>
      <family val="2"/>
    </font>
    <font>
      <b/>
      <sz val="14"/>
      <color theme="1"/>
      <name val="Calibri"/>
      <family val="2"/>
      <scheme val="minor"/>
    </font>
    <font>
      <b/>
      <u/>
      <sz val="11"/>
      <color theme="1" tint="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 Black"/>
      <family val="2"/>
    </font>
    <font>
      <b/>
      <u/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1" xfId="0" applyFont="1" applyFill="1" applyBorder="1"/>
    <xf numFmtId="2" fontId="0" fillId="0" borderId="8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Alignment="1"/>
    <xf numFmtId="2" fontId="0" fillId="0" borderId="4" xfId="0" applyNumberFormat="1" applyBorder="1" applyAlignment="1">
      <alignment horizontal="left"/>
    </xf>
    <xf numFmtId="2" fontId="0" fillId="0" borderId="6" xfId="0" applyNumberFormat="1" applyBorder="1" applyAlignment="1">
      <alignment horizontal="left"/>
    </xf>
    <xf numFmtId="2" fontId="0" fillId="0" borderId="8" xfId="0" applyNumberFormat="1" applyBorder="1" applyAlignment="1">
      <alignment horizontal="left"/>
    </xf>
    <xf numFmtId="2" fontId="0" fillId="0" borderId="10" xfId="0" applyNumberFormat="1" applyBorder="1" applyAlignment="1">
      <alignment horizontal="left"/>
    </xf>
    <xf numFmtId="2" fontId="0" fillId="0" borderId="7" xfId="0" applyNumberFormat="1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4" fillId="0" borderId="0" xfId="0" applyFont="1" applyAlignment="1">
      <alignment horizontal="left"/>
    </xf>
    <xf numFmtId="1" fontId="2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textRotation="90"/>
    </xf>
    <xf numFmtId="2" fontId="0" fillId="0" borderId="0" xfId="0" applyNumberForma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center" vertical="center"/>
    </xf>
    <xf numFmtId="9" fontId="13" fillId="2" borderId="6" xfId="1" applyFont="1" applyFill="1" applyBorder="1" applyAlignment="1">
      <alignment horizontal="center" vertical="center" wrapText="1"/>
    </xf>
    <xf numFmtId="9" fontId="7" fillId="0" borderId="13" xfId="1" applyFont="1" applyFill="1" applyBorder="1" applyAlignment="1">
      <alignment horizontal="center" vertical="center" wrapText="1"/>
    </xf>
    <xf numFmtId="9" fontId="0" fillId="0" borderId="0" xfId="0" applyNumberFormat="1"/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3" xfId="0" applyFill="1" applyBorder="1"/>
    <xf numFmtId="0" fontId="10" fillId="0" borderId="13" xfId="0" applyFont="1" applyBorder="1"/>
    <xf numFmtId="0" fontId="9" fillId="7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/>
    </xf>
    <xf numFmtId="0" fontId="9" fillId="14" borderId="6" xfId="0" applyFont="1" applyFill="1" applyBorder="1" applyAlignment="1">
      <alignment horizontal="center" vertical="center" wrapText="1"/>
    </xf>
    <xf numFmtId="0" fontId="15" fillId="13" borderId="14" xfId="0" applyFont="1" applyFill="1" applyBorder="1" applyAlignment="1">
      <alignment horizontal="center" vertical="center" wrapText="1"/>
    </xf>
    <xf numFmtId="9" fontId="13" fillId="0" borderId="0" xfId="1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/>
    <xf numFmtId="0" fontId="0" fillId="0" borderId="0" xfId="0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textRotation="90"/>
    </xf>
    <xf numFmtId="164" fontId="5" fillId="0" borderId="3" xfId="0" applyNumberFormat="1" applyFont="1" applyBorder="1" applyAlignment="1">
      <alignment horizontal="center" vertical="center" textRotation="90"/>
    </xf>
    <xf numFmtId="164" fontId="5" fillId="0" borderId="6" xfId="0" applyNumberFormat="1" applyFont="1" applyBorder="1" applyAlignment="1">
      <alignment horizontal="center" vertical="center" textRotation="90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9" fontId="7" fillId="2" borderId="11" xfId="1" applyFont="1" applyFill="1" applyBorder="1" applyAlignment="1">
      <alignment horizontal="center" vertical="center" wrapText="1"/>
    </xf>
    <xf numFmtId="9" fontId="7" fillId="2" borderId="3" xfId="1" applyFont="1" applyFill="1" applyBorder="1" applyAlignment="1">
      <alignment horizontal="center" vertical="center" wrapText="1"/>
    </xf>
    <xf numFmtId="9" fontId="7" fillId="2" borderId="10" xfId="1" applyFont="1" applyFill="1" applyBorder="1" applyAlignment="1">
      <alignment horizontal="center" vertical="center" wrapText="1"/>
    </xf>
    <xf numFmtId="1" fontId="3" fillId="12" borderId="11" xfId="0" applyNumberFormat="1" applyFont="1" applyFill="1" applyBorder="1" applyAlignment="1">
      <alignment horizontal="center" vertical="center"/>
    </xf>
    <xf numFmtId="1" fontId="3" fillId="12" borderId="3" xfId="0" applyNumberFormat="1" applyFont="1" applyFill="1" applyBorder="1" applyAlignment="1">
      <alignment horizontal="center" vertical="center"/>
    </xf>
    <xf numFmtId="1" fontId="3" fillId="12" borderId="10" xfId="0" applyNumberFormat="1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16" fillId="13" borderId="11" xfId="0" applyFont="1" applyFill="1" applyBorder="1" applyAlignment="1">
      <alignment horizontal="center" vertical="center"/>
    </xf>
    <xf numFmtId="0" fontId="16" fillId="13" borderId="3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" fontId="3" fillId="4" borderId="11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16" fillId="13" borderId="5" xfId="0" applyFont="1" applyFill="1" applyBorder="1" applyAlignment="1">
      <alignment horizontal="center" vertical="center"/>
    </xf>
    <xf numFmtId="0" fontId="16" fillId="13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" fontId="3" fillId="12" borderId="2" xfId="0" applyNumberFormat="1" applyFont="1" applyFill="1" applyBorder="1" applyAlignment="1">
      <alignment horizontal="center" vertical="center"/>
    </xf>
    <xf numFmtId="1" fontId="3" fillId="12" borderId="6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1" fontId="3" fillId="14" borderId="5" xfId="0" applyNumberFormat="1" applyFont="1" applyFill="1" applyBorder="1" applyAlignment="1">
      <alignment horizontal="center" vertical="center"/>
    </xf>
    <xf numFmtId="1" fontId="3" fillId="14" borderId="3" xfId="0" applyNumberFormat="1" applyFont="1" applyFill="1" applyBorder="1" applyAlignment="1">
      <alignment horizontal="center" vertical="center"/>
    </xf>
    <xf numFmtId="1" fontId="3" fillId="14" borderId="6" xfId="0" applyNumberFormat="1" applyFont="1" applyFill="1" applyBorder="1" applyAlignment="1">
      <alignment horizontal="center" vertical="center"/>
    </xf>
    <xf numFmtId="1" fontId="3" fillId="9" borderId="11" xfId="0" applyNumberFormat="1" applyFont="1" applyFill="1" applyBorder="1" applyAlignment="1">
      <alignment horizontal="center" vertical="center"/>
    </xf>
    <xf numFmtId="1" fontId="3" fillId="9" borderId="3" xfId="0" applyNumberFormat="1" applyFont="1" applyFill="1" applyBorder="1" applyAlignment="1">
      <alignment horizontal="center" vertical="center"/>
    </xf>
    <xf numFmtId="1" fontId="3" fillId="9" borderId="10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" fontId="3" fillId="6" borderId="11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1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" fontId="3" fillId="6" borderId="2" xfId="0" applyNumberFormat="1" applyFont="1" applyFill="1" applyBorder="1" applyAlignment="1">
      <alignment horizontal="center" vertical="center" wrapText="1"/>
    </xf>
    <xf numFmtId="1" fontId="3" fillId="6" borderId="6" xfId="0" applyNumberFormat="1" applyFont="1" applyFill="1" applyBorder="1" applyAlignment="1">
      <alignment horizontal="center" vertical="center" wrapText="1"/>
    </xf>
    <xf numFmtId="1" fontId="3" fillId="11" borderId="2" xfId="0" applyNumberFormat="1" applyFont="1" applyFill="1" applyBorder="1" applyAlignment="1">
      <alignment horizontal="center" vertical="center"/>
    </xf>
    <xf numFmtId="1" fontId="3" fillId="11" borderId="3" xfId="0" applyNumberFormat="1" applyFont="1" applyFill="1" applyBorder="1" applyAlignment="1">
      <alignment horizontal="center" vertical="center"/>
    </xf>
    <xf numFmtId="1" fontId="3" fillId="11" borderId="6" xfId="0" applyNumberFormat="1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3" fillId="8" borderId="3" xfId="0" applyNumberFormat="1" applyFont="1" applyFill="1" applyBorder="1" applyAlignment="1">
      <alignment horizontal="center" vertical="center"/>
    </xf>
    <xf numFmtId="1" fontId="3" fillId="8" borderId="6" xfId="0" applyNumberFormat="1" applyFont="1" applyFill="1" applyBorder="1" applyAlignment="1">
      <alignment horizontal="center" vertical="center"/>
    </xf>
    <xf numFmtId="2" fontId="14" fillId="0" borderId="0" xfId="2" applyNumberFormat="1" applyFont="1" applyAlignment="1">
      <alignment horizontal="right"/>
    </xf>
    <xf numFmtId="0" fontId="4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B2:I46"/>
  <sheetViews>
    <sheetView zoomScale="80" zoomScaleNormal="80" workbookViewId="0">
      <selection activeCell="B4" sqref="B4:C40"/>
    </sheetView>
  </sheetViews>
  <sheetFormatPr baseColWidth="10" defaultRowHeight="15"/>
  <cols>
    <col min="1" max="1" width="5.42578125" customWidth="1"/>
    <col min="2" max="2" width="15.7109375" customWidth="1"/>
    <col min="3" max="3" width="7.5703125" style="1" customWidth="1"/>
    <col min="4" max="7" width="7.28515625" style="1" customWidth="1"/>
    <col min="8" max="8" width="7.28515625" style="16" customWidth="1"/>
  </cols>
  <sheetData>
    <row r="2" spans="2:9">
      <c r="B2" s="77" t="s">
        <v>73</v>
      </c>
      <c r="C2" s="77"/>
    </row>
    <row r="3" spans="2:9">
      <c r="C3" s="16">
        <v>720</v>
      </c>
      <c r="G3" s="1" t="s">
        <v>70</v>
      </c>
    </row>
    <row r="4" spans="2:9" ht="26.25" customHeight="1">
      <c r="B4" s="4" t="s">
        <v>1</v>
      </c>
      <c r="C4" s="3" t="s">
        <v>2</v>
      </c>
      <c r="E4" s="1">
        <v>12</v>
      </c>
      <c r="G4" s="1" t="s">
        <v>56</v>
      </c>
    </row>
    <row r="5" spans="2:9" ht="15.75">
      <c r="B5" s="9"/>
      <c r="C5" s="11">
        <v>0.01</v>
      </c>
      <c r="D5" s="1" t="s">
        <v>72</v>
      </c>
    </row>
    <row r="6" spans="2:9" ht="15.75">
      <c r="B6" s="9" t="s">
        <v>11</v>
      </c>
      <c r="C6" s="27">
        <f>C$3/E6</f>
        <v>1.3980582524271845</v>
      </c>
      <c r="D6" s="1">
        <v>0.02</v>
      </c>
      <c r="E6" s="1">
        <v>515</v>
      </c>
      <c r="F6" s="1">
        <v>1.4</v>
      </c>
      <c r="G6" s="70">
        <f>+F6*F6*3.14*8.9/4</f>
        <v>13.69354</v>
      </c>
      <c r="I6" s="74">
        <f>+C6/60</f>
        <v>2.3300970873786409E-2</v>
      </c>
    </row>
    <row r="7" spans="2:9" ht="15.75">
      <c r="B7" s="9" t="s">
        <v>12</v>
      </c>
      <c r="C7" s="27">
        <f t="shared" ref="C7:C38" si="0">C$3/E7</f>
        <v>1.5</v>
      </c>
      <c r="D7" s="1">
        <v>2.4E-2</v>
      </c>
      <c r="E7" s="1">
        <v>480</v>
      </c>
      <c r="F7" s="1">
        <v>1.6</v>
      </c>
      <c r="G7" s="73">
        <f t="shared" ref="G7:G40" si="1">+F7*F7*3.14*8.9/4</f>
        <v>17.885440000000003</v>
      </c>
      <c r="I7" s="74">
        <f t="shared" ref="I7:I40" si="2">+C7/60</f>
        <v>2.5000000000000001E-2</v>
      </c>
    </row>
    <row r="8" spans="2:9" ht="15.75">
      <c r="B8" s="9" t="s">
        <v>13</v>
      </c>
      <c r="C8" s="27">
        <f t="shared" si="0"/>
        <v>1.6326530612244898</v>
      </c>
      <c r="D8" s="1">
        <v>2.5999999999999999E-2</v>
      </c>
      <c r="E8" s="1">
        <v>441</v>
      </c>
      <c r="F8" s="1">
        <v>1.8</v>
      </c>
      <c r="G8" s="73">
        <f t="shared" si="1"/>
        <v>22.636260000000004</v>
      </c>
      <c r="I8" s="74">
        <f t="shared" si="2"/>
        <v>2.7210884353741496E-2</v>
      </c>
    </row>
    <row r="9" spans="2:9" ht="15.75">
      <c r="B9" s="9" t="s">
        <v>14</v>
      </c>
      <c r="C9" s="27">
        <f t="shared" si="0"/>
        <v>1.9972260748959778</v>
      </c>
      <c r="D9" s="1">
        <v>0.03</v>
      </c>
      <c r="E9" s="1">
        <v>360.5</v>
      </c>
      <c r="F9" s="1">
        <v>2</v>
      </c>
      <c r="G9" s="73">
        <f t="shared" si="1"/>
        <v>27.946000000000002</v>
      </c>
      <c r="I9" s="74">
        <f t="shared" si="2"/>
        <v>3.3287101248266296E-2</v>
      </c>
    </row>
    <row r="10" spans="2:9" ht="15.75">
      <c r="B10" s="9" t="s">
        <v>36</v>
      </c>
      <c r="C10" s="27">
        <f>C$3/E10</f>
        <v>2.1818181818181817</v>
      </c>
      <c r="D10" s="1">
        <v>0.03</v>
      </c>
      <c r="E10" s="1">
        <v>330</v>
      </c>
      <c r="F10" s="1">
        <v>2.14</v>
      </c>
      <c r="G10" s="73">
        <f t="shared" si="1"/>
        <v>31.9953754</v>
      </c>
      <c r="I10" s="74">
        <f t="shared" si="2"/>
        <v>3.6363636363636362E-2</v>
      </c>
    </row>
    <row r="11" spans="2:9" ht="15.75">
      <c r="B11" s="9" t="s">
        <v>15</v>
      </c>
      <c r="C11" s="27">
        <f t="shared" si="0"/>
        <v>2.2167487684729061</v>
      </c>
      <c r="D11" s="1">
        <v>0.03</v>
      </c>
      <c r="E11" s="1">
        <v>324.8</v>
      </c>
      <c r="F11" s="1">
        <v>2.2400000000000002</v>
      </c>
      <c r="G11" s="73">
        <f t="shared" si="1"/>
        <v>35.055462400000003</v>
      </c>
      <c r="I11" s="74">
        <f t="shared" si="2"/>
        <v>3.694581280788177E-2</v>
      </c>
    </row>
    <row r="12" spans="2:9" ht="15.75">
      <c r="B12" s="9" t="s">
        <v>65</v>
      </c>
      <c r="C12" s="27">
        <f t="shared" ref="C12" si="3">C$3/E12</f>
        <v>2.2167487684729061</v>
      </c>
      <c r="D12" s="1">
        <v>0.03</v>
      </c>
      <c r="E12" s="1">
        <v>324.8</v>
      </c>
      <c r="F12" s="1">
        <v>2.5</v>
      </c>
      <c r="G12" s="73">
        <f t="shared" si="1"/>
        <v>43.665624999999999</v>
      </c>
      <c r="I12" s="74">
        <f t="shared" si="2"/>
        <v>3.694581280788177E-2</v>
      </c>
    </row>
    <row r="13" spans="2:9" ht="15.75">
      <c r="B13" s="9" t="s">
        <v>16</v>
      </c>
      <c r="C13" s="27">
        <f t="shared" si="0"/>
        <v>3.6</v>
      </c>
      <c r="D13" s="1">
        <v>0.06</v>
      </c>
      <c r="E13" s="1">
        <f t="shared" ref="E13:E19" si="4">+E$4/D13</f>
        <v>200</v>
      </c>
      <c r="F13" s="1">
        <v>0.68</v>
      </c>
      <c r="G13" s="73">
        <f t="shared" si="1"/>
        <v>3.2305576000000009</v>
      </c>
      <c r="I13" s="74">
        <f t="shared" si="2"/>
        <v>6.0000000000000005E-2</v>
      </c>
    </row>
    <row r="14" spans="2:9" ht="15.75">
      <c r="B14" s="9" t="s">
        <v>17</v>
      </c>
      <c r="C14" s="27">
        <f t="shared" si="0"/>
        <v>3.6</v>
      </c>
      <c r="D14" s="1">
        <v>0.06</v>
      </c>
      <c r="E14" s="1">
        <f t="shared" si="4"/>
        <v>200</v>
      </c>
      <c r="F14" s="1">
        <v>0.73</v>
      </c>
      <c r="G14" s="73">
        <f t="shared" si="1"/>
        <v>3.7231058499999996</v>
      </c>
      <c r="I14" s="74">
        <f t="shared" si="2"/>
        <v>6.0000000000000005E-2</v>
      </c>
    </row>
    <row r="15" spans="2:9" ht="15.75">
      <c r="B15" s="9" t="s">
        <v>18</v>
      </c>
      <c r="C15" s="27">
        <f t="shared" si="0"/>
        <v>1.44</v>
      </c>
      <c r="D15" s="1">
        <v>0.06</v>
      </c>
      <c r="E15" s="1">
        <v>500</v>
      </c>
      <c r="F15" s="1">
        <v>0.9</v>
      </c>
      <c r="G15" s="73">
        <f t="shared" si="1"/>
        <v>5.6590650000000009</v>
      </c>
      <c r="I15" s="74">
        <f t="shared" si="2"/>
        <v>2.4E-2</v>
      </c>
    </row>
    <row r="16" spans="2:9" ht="15.75">
      <c r="B16" s="9" t="s">
        <v>19</v>
      </c>
      <c r="C16" s="27">
        <f t="shared" si="0"/>
        <v>1.44</v>
      </c>
      <c r="D16" s="1">
        <v>2.4E-2</v>
      </c>
      <c r="E16" s="1">
        <f t="shared" si="4"/>
        <v>500</v>
      </c>
      <c r="F16" s="1">
        <v>1.0900000000000001</v>
      </c>
      <c r="G16" s="73">
        <f t="shared" si="1"/>
        <v>8.3006606500000011</v>
      </c>
      <c r="I16" s="74">
        <f t="shared" si="2"/>
        <v>2.4E-2</v>
      </c>
    </row>
    <row r="17" spans="2:9" ht="15.75">
      <c r="B17" s="9" t="s">
        <v>20</v>
      </c>
      <c r="C17" s="27">
        <f t="shared" si="0"/>
        <v>0.96</v>
      </c>
      <c r="D17" s="1">
        <v>1.6E-2</v>
      </c>
      <c r="E17" s="1">
        <f t="shared" si="4"/>
        <v>750</v>
      </c>
      <c r="F17" s="1">
        <v>1.1599999999999999</v>
      </c>
      <c r="G17" s="73">
        <f t="shared" si="1"/>
        <v>9.4010344000000003</v>
      </c>
      <c r="I17" s="74">
        <f t="shared" si="2"/>
        <v>1.6E-2</v>
      </c>
    </row>
    <row r="18" spans="2:9" ht="15.75">
      <c r="B18" s="9" t="s">
        <v>21</v>
      </c>
      <c r="C18" s="27">
        <f t="shared" si="0"/>
        <v>0.96</v>
      </c>
      <c r="D18" s="1">
        <v>1.6E-2</v>
      </c>
      <c r="E18" s="1">
        <f t="shared" si="4"/>
        <v>750</v>
      </c>
      <c r="F18" s="1">
        <v>1.18</v>
      </c>
      <c r="G18" s="73">
        <f t="shared" si="1"/>
        <v>9.7280025999999982</v>
      </c>
      <c r="I18" s="74">
        <f t="shared" si="2"/>
        <v>1.6E-2</v>
      </c>
    </row>
    <row r="19" spans="2:9" ht="15.75">
      <c r="B19" s="9" t="s">
        <v>22</v>
      </c>
      <c r="C19" s="27">
        <f t="shared" si="0"/>
        <v>0.96</v>
      </c>
      <c r="D19" s="1">
        <v>1.6E-2</v>
      </c>
      <c r="E19" s="1">
        <f t="shared" si="4"/>
        <v>750</v>
      </c>
      <c r="F19" s="1">
        <v>1.23</v>
      </c>
      <c r="G19" s="73">
        <f t="shared" si="1"/>
        <v>10.569875849999999</v>
      </c>
      <c r="I19" s="74">
        <f t="shared" si="2"/>
        <v>1.6E-2</v>
      </c>
    </row>
    <row r="20" spans="2:9" ht="15.75">
      <c r="B20" s="9" t="s">
        <v>23</v>
      </c>
      <c r="C20" s="27">
        <f t="shared" si="0"/>
        <v>1.0588235294117647</v>
      </c>
      <c r="D20" s="1">
        <v>0.02</v>
      </c>
      <c r="E20" s="1">
        <v>680</v>
      </c>
      <c r="F20" s="1">
        <v>1.35</v>
      </c>
      <c r="G20" s="73">
        <f t="shared" si="1"/>
        <v>12.732896250000001</v>
      </c>
      <c r="I20" s="74">
        <f t="shared" si="2"/>
        <v>1.7647058823529412E-2</v>
      </c>
    </row>
    <row r="21" spans="2:9" ht="15.75">
      <c r="B21" s="9" t="s">
        <v>24</v>
      </c>
      <c r="C21" s="27">
        <f t="shared" si="0"/>
        <v>1.2857142857142858</v>
      </c>
      <c r="D21" s="1">
        <v>0.02</v>
      </c>
      <c r="E21" s="1">
        <v>560</v>
      </c>
      <c r="F21" s="1">
        <v>1.4</v>
      </c>
      <c r="G21" s="73">
        <f t="shared" si="1"/>
        <v>13.69354</v>
      </c>
      <c r="I21" s="74">
        <f t="shared" si="2"/>
        <v>2.1428571428571429E-2</v>
      </c>
    </row>
    <row r="22" spans="2:9" ht="15.75">
      <c r="B22" s="9" t="s">
        <v>25</v>
      </c>
      <c r="C22" s="27">
        <f t="shared" si="0"/>
        <v>1.4814814814814814</v>
      </c>
      <c r="D22" s="1">
        <v>2.4E-2</v>
      </c>
      <c r="E22" s="1">
        <v>486</v>
      </c>
      <c r="F22" s="1">
        <v>1.54</v>
      </c>
      <c r="G22" s="73">
        <f t="shared" si="1"/>
        <v>16.5691834</v>
      </c>
      <c r="I22" s="74">
        <f t="shared" si="2"/>
        <v>2.4691358024691357E-2</v>
      </c>
    </row>
    <row r="23" spans="2:9" ht="15.75">
      <c r="B23" s="9" t="s">
        <v>26</v>
      </c>
      <c r="C23" s="27">
        <f t="shared" si="0"/>
        <v>1.5</v>
      </c>
      <c r="D23" s="1">
        <v>2.4E-2</v>
      </c>
      <c r="E23" s="1">
        <v>480</v>
      </c>
      <c r="F23" s="1">
        <v>1.72</v>
      </c>
      <c r="G23" s="73">
        <f t="shared" si="1"/>
        <v>20.6688616</v>
      </c>
      <c r="I23" s="74">
        <f t="shared" si="2"/>
        <v>2.5000000000000001E-2</v>
      </c>
    </row>
    <row r="24" spans="2:9" ht="15.75">
      <c r="B24" s="9" t="s">
        <v>27</v>
      </c>
      <c r="C24" s="27">
        <f t="shared" si="0"/>
        <v>1.5</v>
      </c>
      <c r="D24" s="1">
        <v>2.4E-2</v>
      </c>
      <c r="E24" s="1">
        <v>480</v>
      </c>
      <c r="F24" s="1">
        <v>1.74</v>
      </c>
      <c r="G24" s="73">
        <f t="shared" si="1"/>
        <v>21.152327400000001</v>
      </c>
      <c r="I24" s="74">
        <f t="shared" si="2"/>
        <v>2.5000000000000001E-2</v>
      </c>
    </row>
    <row r="25" spans="2:9" ht="15.75">
      <c r="B25" s="9" t="s">
        <v>53</v>
      </c>
      <c r="C25" s="27">
        <f t="shared" si="0"/>
        <v>1.5</v>
      </c>
      <c r="D25" s="1">
        <v>2.4E-2</v>
      </c>
      <c r="E25" s="1">
        <v>480</v>
      </c>
      <c r="F25" s="1">
        <v>1.74</v>
      </c>
      <c r="G25" s="73">
        <f t="shared" si="1"/>
        <v>21.152327400000001</v>
      </c>
      <c r="I25" s="74">
        <f t="shared" si="2"/>
        <v>2.5000000000000001E-2</v>
      </c>
    </row>
    <row r="26" spans="2:9" ht="15.75">
      <c r="B26" s="9" t="s">
        <v>67</v>
      </c>
      <c r="C26" s="27">
        <f t="shared" si="0"/>
        <v>1.5</v>
      </c>
      <c r="D26" s="1">
        <v>2.4E-2</v>
      </c>
      <c r="E26" s="1">
        <v>480</v>
      </c>
      <c r="F26" s="1">
        <v>1.78</v>
      </c>
      <c r="G26" s="73">
        <f t="shared" si="1"/>
        <v>22.136026600000001</v>
      </c>
      <c r="I26" s="74">
        <f t="shared" si="2"/>
        <v>2.5000000000000001E-2</v>
      </c>
    </row>
    <row r="27" spans="2:9" ht="15.75">
      <c r="B27" s="9" t="s">
        <v>28</v>
      </c>
      <c r="C27" s="27">
        <f t="shared" si="0"/>
        <v>1.5841584158415842</v>
      </c>
      <c r="D27" s="1">
        <v>0.03</v>
      </c>
      <c r="E27" s="71">
        <v>454.5</v>
      </c>
      <c r="F27" s="1">
        <v>2</v>
      </c>
      <c r="G27" s="73">
        <f t="shared" si="1"/>
        <v>27.946000000000002</v>
      </c>
      <c r="I27" s="74">
        <f t="shared" si="2"/>
        <v>2.6402640264026403E-2</v>
      </c>
    </row>
    <row r="28" spans="2:9" ht="15.75">
      <c r="B28" s="9" t="s">
        <v>29</v>
      </c>
      <c r="C28" s="27">
        <f t="shared" si="0"/>
        <v>1.8564356435643565</v>
      </c>
      <c r="D28" s="1">
        <v>0.03</v>
      </c>
      <c r="E28" s="71">
        <v>387.84</v>
      </c>
      <c r="F28" s="1">
        <v>2.15</v>
      </c>
      <c r="G28" s="73">
        <f t="shared" si="1"/>
        <v>32.29509625</v>
      </c>
      <c r="I28" s="74">
        <f t="shared" si="2"/>
        <v>3.0940594059405944E-2</v>
      </c>
    </row>
    <row r="29" spans="2:9" ht="15.75">
      <c r="B29" s="9" t="s">
        <v>30</v>
      </c>
      <c r="C29" s="27">
        <f t="shared" si="0"/>
        <v>1.9801980198019802</v>
      </c>
      <c r="D29" s="1">
        <v>0.03</v>
      </c>
      <c r="E29" s="71">
        <v>363.6</v>
      </c>
      <c r="F29" s="1">
        <v>2.2000000000000002</v>
      </c>
      <c r="G29" s="73">
        <f t="shared" si="1"/>
        <v>33.814660000000011</v>
      </c>
      <c r="I29" s="74">
        <f t="shared" si="2"/>
        <v>3.3003300330033E-2</v>
      </c>
    </row>
    <row r="30" spans="2:9" ht="15.75">
      <c r="B30" s="9" t="s">
        <v>66</v>
      </c>
      <c r="C30" s="27">
        <f t="shared" ref="C30" si="5">C$3/E30</f>
        <v>2.0723002532811421</v>
      </c>
      <c r="D30" s="1">
        <v>3.3000000000000002E-2</v>
      </c>
      <c r="E30" s="71">
        <v>347.44</v>
      </c>
      <c r="F30" s="1">
        <v>2.4500000000000002</v>
      </c>
      <c r="G30" s="73">
        <f t="shared" si="1"/>
        <v>41.936466250000009</v>
      </c>
      <c r="I30" s="74">
        <f t="shared" si="2"/>
        <v>3.4538337554685702E-2</v>
      </c>
    </row>
    <row r="31" spans="2:9" ht="15.75">
      <c r="B31" s="9" t="s">
        <v>61</v>
      </c>
      <c r="C31" s="27">
        <f t="shared" si="0"/>
        <v>2.0723002532811421</v>
      </c>
      <c r="D31" s="1">
        <v>3.3000000000000002E-2</v>
      </c>
      <c r="E31" s="71">
        <v>347.44</v>
      </c>
      <c r="F31" s="1">
        <v>2.5</v>
      </c>
      <c r="G31" s="73">
        <f t="shared" si="1"/>
        <v>43.665624999999999</v>
      </c>
      <c r="I31" s="74">
        <f t="shared" si="2"/>
        <v>3.4538337554685702E-2</v>
      </c>
    </row>
    <row r="32" spans="2:9" ht="15.75">
      <c r="B32" s="9" t="s">
        <v>46</v>
      </c>
      <c r="C32" s="27">
        <f>C$3/E32</f>
        <v>2.0723002532811421</v>
      </c>
      <c r="D32" s="1">
        <v>3.3000000000000002E-2</v>
      </c>
      <c r="E32" s="71">
        <v>347.44</v>
      </c>
      <c r="F32" s="1">
        <v>2.6</v>
      </c>
      <c r="G32" s="73">
        <f t="shared" si="1"/>
        <v>47.228740000000009</v>
      </c>
      <c r="I32" s="74">
        <f t="shared" si="2"/>
        <v>3.4538337554685702E-2</v>
      </c>
    </row>
    <row r="33" spans="2:9" ht="15.75">
      <c r="B33" s="9" t="s">
        <v>31</v>
      </c>
      <c r="C33" s="27">
        <f t="shared" si="0"/>
        <v>1.98</v>
      </c>
      <c r="D33" s="1">
        <v>3.3000000000000002E-2</v>
      </c>
      <c r="E33" s="71">
        <f>+E$4/D33</f>
        <v>363.63636363636363</v>
      </c>
      <c r="F33" s="1">
        <v>2.76</v>
      </c>
      <c r="G33" s="73">
        <f t="shared" si="1"/>
        <v>53.220362399999999</v>
      </c>
      <c r="I33" s="74">
        <f t="shared" si="2"/>
        <v>3.3000000000000002E-2</v>
      </c>
    </row>
    <row r="34" spans="2:9" ht="15.75">
      <c r="B34" s="9" t="s">
        <v>63</v>
      </c>
      <c r="C34" s="27">
        <f t="shared" si="0"/>
        <v>1.98</v>
      </c>
      <c r="D34" s="1">
        <v>3.3000000000000002E-2</v>
      </c>
      <c r="E34" s="71">
        <f>+E$4/D34</f>
        <v>363.63636363636363</v>
      </c>
      <c r="F34" s="1">
        <v>2.8</v>
      </c>
      <c r="G34" s="73">
        <f t="shared" si="1"/>
        <v>54.774160000000002</v>
      </c>
      <c r="I34" s="74">
        <f t="shared" si="2"/>
        <v>3.3000000000000002E-2</v>
      </c>
    </row>
    <row r="35" spans="2:9" ht="15.75">
      <c r="B35" s="9" t="s">
        <v>32</v>
      </c>
      <c r="C35" s="27">
        <f t="shared" si="0"/>
        <v>2.7777777777777777</v>
      </c>
      <c r="D35" s="1">
        <v>3.4000000000000002E-2</v>
      </c>
      <c r="E35" s="71">
        <v>259.2</v>
      </c>
      <c r="F35" s="1">
        <v>2.9</v>
      </c>
      <c r="G35" s="73">
        <f t="shared" si="1"/>
        <v>58.756465000000006</v>
      </c>
      <c r="I35" s="74">
        <f t="shared" si="2"/>
        <v>4.6296296296296294E-2</v>
      </c>
    </row>
    <row r="36" spans="2:9" ht="15.75">
      <c r="B36" s="9" t="s">
        <v>35</v>
      </c>
      <c r="C36" s="27">
        <f>C$3/E36</f>
        <v>2.7777777777777777</v>
      </c>
      <c r="D36" s="1">
        <v>3.5000000000000003E-2</v>
      </c>
      <c r="E36" s="71">
        <v>259.2</v>
      </c>
      <c r="F36" s="1">
        <v>2.94</v>
      </c>
      <c r="G36" s="73">
        <f t="shared" si="1"/>
        <v>60.388511399999999</v>
      </c>
      <c r="I36" s="74">
        <f t="shared" si="2"/>
        <v>4.6296296296296294E-2</v>
      </c>
    </row>
    <row r="37" spans="2:9" ht="15.75">
      <c r="B37" s="9" t="s">
        <v>33</v>
      </c>
      <c r="C37" s="27">
        <f t="shared" si="0"/>
        <v>2.7777777777777777</v>
      </c>
      <c r="D37" s="1">
        <v>3.5000000000000003E-2</v>
      </c>
      <c r="E37" s="71">
        <v>259.2</v>
      </c>
      <c r="F37" s="1">
        <v>2.96</v>
      </c>
      <c r="G37" s="73">
        <f t="shared" si="1"/>
        <v>61.2129184</v>
      </c>
      <c r="I37" s="74">
        <f t="shared" si="2"/>
        <v>4.6296296296296294E-2</v>
      </c>
    </row>
    <row r="38" spans="2:9" ht="15.75">
      <c r="B38" s="9" t="s">
        <v>64</v>
      </c>
      <c r="C38" s="27">
        <f t="shared" si="0"/>
        <v>3.6</v>
      </c>
      <c r="E38" s="72">
        <v>200</v>
      </c>
      <c r="F38" s="1">
        <v>3.1</v>
      </c>
      <c r="G38" s="73">
        <f t="shared" si="1"/>
        <v>67.140265000000014</v>
      </c>
      <c r="I38" s="74">
        <f t="shared" si="2"/>
        <v>6.0000000000000005E-2</v>
      </c>
    </row>
    <row r="39" spans="2:9" ht="15.75">
      <c r="B39" s="9" t="s">
        <v>34</v>
      </c>
      <c r="C39" s="27">
        <f>C$3/E39</f>
        <v>3.6</v>
      </c>
      <c r="D39" s="1">
        <v>0.04</v>
      </c>
      <c r="E39" s="72">
        <v>200</v>
      </c>
      <c r="F39" s="1">
        <v>3.15</v>
      </c>
      <c r="G39" s="73">
        <f t="shared" si="1"/>
        <v>69.323546250000007</v>
      </c>
      <c r="I39" s="74">
        <f t="shared" si="2"/>
        <v>6.0000000000000005E-2</v>
      </c>
    </row>
    <row r="40" spans="2:9" ht="15.75">
      <c r="B40" s="9" t="s">
        <v>37</v>
      </c>
      <c r="C40" s="27">
        <f>C$3/E40</f>
        <v>3.6</v>
      </c>
      <c r="D40" s="1">
        <v>0.04</v>
      </c>
      <c r="E40" s="72">
        <v>200</v>
      </c>
      <c r="F40" s="1">
        <v>3.45</v>
      </c>
      <c r="G40" s="73">
        <f t="shared" si="1"/>
        <v>83.15681625000002</v>
      </c>
      <c r="I40" s="74">
        <f t="shared" si="2"/>
        <v>6.0000000000000005E-2</v>
      </c>
    </row>
    <row r="46" spans="2:9">
      <c r="F46" s="1">
        <f>4*12</f>
        <v>48</v>
      </c>
    </row>
  </sheetData>
  <mergeCells count="1">
    <mergeCell ref="B2:C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AJ148"/>
  <sheetViews>
    <sheetView topLeftCell="A43" workbookViewId="0">
      <selection activeCell="G59" sqref="G59"/>
    </sheetView>
  </sheetViews>
  <sheetFormatPr baseColWidth="10" defaultRowHeight="18.75"/>
  <cols>
    <col min="1" max="1" width="6" customWidth="1"/>
    <col min="2" max="2" width="6.85546875" customWidth="1"/>
    <col min="3" max="4" width="9.140625" customWidth="1"/>
    <col min="5" max="5" width="17.85546875" style="16" customWidth="1"/>
    <col min="6" max="7" width="9.42578125" style="1" customWidth="1"/>
    <col min="8" max="8" width="10.7109375" style="1" customWidth="1"/>
    <col min="9" max="9" width="9.42578125" style="1" customWidth="1"/>
    <col min="10" max="16" width="7.28515625" customWidth="1"/>
    <col min="17" max="17" width="8" bestFit="1" customWidth="1"/>
    <col min="18" max="23" width="7.28515625" customWidth="1"/>
    <col min="24" max="24" width="7.28515625" style="2" customWidth="1"/>
    <col min="25" max="25" width="7.42578125" style="13" customWidth="1"/>
    <col min="26" max="34" width="11.42578125" style="6"/>
    <col min="36" max="36" width="13.140625" bestFit="1" customWidth="1"/>
  </cols>
  <sheetData>
    <row r="3" spans="1:36" ht="27">
      <c r="B3" s="21" t="s">
        <v>39</v>
      </c>
      <c r="C3" s="21"/>
      <c r="D3" s="21"/>
      <c r="V3" s="36"/>
      <c r="Y3" s="59"/>
    </row>
    <row r="5" spans="1:36" ht="19.5" thickBot="1">
      <c r="B5" s="40"/>
      <c r="C5" s="40"/>
      <c r="D5" s="40"/>
      <c r="E5" s="55"/>
      <c r="F5" s="56"/>
      <c r="G5" s="56"/>
      <c r="H5" s="56"/>
      <c r="I5" s="56"/>
      <c r="J5" s="40"/>
      <c r="K5" s="40"/>
      <c r="L5" s="40"/>
      <c r="M5" s="40"/>
      <c r="N5" s="40"/>
      <c r="O5" s="40"/>
      <c r="P5" s="40"/>
      <c r="Q5" s="40"/>
      <c r="R5" s="40"/>
      <c r="S5" s="40"/>
      <c r="U5" s="40"/>
      <c r="V5" s="40"/>
      <c r="W5" s="40"/>
      <c r="X5" s="41"/>
      <c r="Y5" s="42"/>
    </row>
    <row r="6" spans="1:36" s="14" customFormat="1" ht="54" customHeight="1" thickTop="1" thickBot="1">
      <c r="B6" s="37" t="s">
        <v>0</v>
      </c>
      <c r="C6" s="37" t="s">
        <v>6</v>
      </c>
      <c r="D6" s="37" t="s">
        <v>42</v>
      </c>
      <c r="E6" s="38" t="s">
        <v>1</v>
      </c>
      <c r="F6" s="38" t="s">
        <v>2</v>
      </c>
      <c r="G6" s="37" t="s">
        <v>3</v>
      </c>
      <c r="H6" s="37" t="s">
        <v>59</v>
      </c>
      <c r="I6" s="37"/>
      <c r="J6" s="39" t="s">
        <v>40</v>
      </c>
      <c r="K6" s="44" t="s">
        <v>4</v>
      </c>
      <c r="L6" s="45" t="s">
        <v>5</v>
      </c>
      <c r="M6" s="46" t="s">
        <v>44</v>
      </c>
      <c r="N6" s="47" t="s">
        <v>45</v>
      </c>
      <c r="O6" s="48" t="s">
        <v>55</v>
      </c>
      <c r="P6" s="49" t="s">
        <v>54</v>
      </c>
      <c r="Q6" s="43" t="s">
        <v>71</v>
      </c>
      <c r="R6" s="50" t="s">
        <v>41</v>
      </c>
      <c r="S6" s="51" t="s">
        <v>43</v>
      </c>
      <c r="T6" s="58" t="s">
        <v>60</v>
      </c>
      <c r="U6" s="52" t="s">
        <v>58</v>
      </c>
      <c r="V6" s="57" t="s">
        <v>62</v>
      </c>
      <c r="W6" s="53" t="s">
        <v>38</v>
      </c>
      <c r="X6" s="76" t="s">
        <v>9</v>
      </c>
      <c r="Y6" s="54" t="s">
        <v>10</v>
      </c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6" ht="15.75" customHeight="1">
      <c r="A7" s="89" t="s">
        <v>49</v>
      </c>
      <c r="B7" s="89">
        <v>44531</v>
      </c>
      <c r="C7" s="92" t="s">
        <v>8</v>
      </c>
      <c r="D7" s="92"/>
      <c r="E7" s="22" t="s">
        <v>20</v>
      </c>
      <c r="F7" s="60">
        <f>IF(E7=0,0,VLOOKUP(E7,TC!B$3:C$40,2,FALSE))</f>
        <v>0.96</v>
      </c>
      <c r="G7" s="65">
        <f>14*30</f>
        <v>420</v>
      </c>
      <c r="H7" s="10">
        <f>IF(E7=0,"",VLOOKUP(E7,TC!B$3:G$40,6,FALSE))</f>
        <v>9.4010344000000003</v>
      </c>
      <c r="I7" s="10">
        <f t="shared" ref="I7:I10" si="0">IF(H7="","",G7*H7)</f>
        <v>3948.434448</v>
      </c>
      <c r="J7" s="95">
        <v>720</v>
      </c>
      <c r="K7" s="98">
        <f t="shared" ref="K7" si="1">F7*G7+F8*G8+F9*G9</f>
        <v>403.2</v>
      </c>
      <c r="L7" s="124"/>
      <c r="M7" s="127"/>
      <c r="N7" s="78"/>
      <c r="O7" s="81"/>
      <c r="P7" s="84"/>
      <c r="Q7" s="86"/>
      <c r="R7" s="107"/>
      <c r="S7" s="110"/>
      <c r="T7" s="113"/>
      <c r="U7" s="116"/>
      <c r="V7" s="119"/>
      <c r="W7" s="121"/>
      <c r="X7" s="101">
        <f t="shared" ref="X7" si="2">SUM(K7:W9)</f>
        <v>403.2</v>
      </c>
      <c r="Y7" s="104">
        <f t="shared" ref="Y7:Y52" si="3">X7/$J7</f>
        <v>0.55999999999999994</v>
      </c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</row>
    <row r="8" spans="1:36" ht="15" customHeight="1">
      <c r="A8" s="90"/>
      <c r="B8" s="90"/>
      <c r="C8" s="93"/>
      <c r="D8" s="93"/>
      <c r="E8" s="22"/>
      <c r="F8" s="61">
        <f>IF(E8=0,0,VLOOKUP(E8,TC!B$3:C$40,2,FALSE))</f>
        <v>0</v>
      </c>
      <c r="G8" s="66"/>
      <c r="H8" s="27" t="str">
        <f>IF(E8=0,"",VLOOKUP(E8,TC!B$3:G$40,6,FALSE))</f>
        <v/>
      </c>
      <c r="I8" s="27" t="str">
        <f t="shared" si="0"/>
        <v/>
      </c>
      <c r="J8" s="96"/>
      <c r="K8" s="99"/>
      <c r="L8" s="125"/>
      <c r="M8" s="128"/>
      <c r="N8" s="79"/>
      <c r="O8" s="82"/>
      <c r="P8" s="84"/>
      <c r="Q8" s="87"/>
      <c r="R8" s="108"/>
      <c r="S8" s="111"/>
      <c r="T8" s="114"/>
      <c r="U8" s="117"/>
      <c r="V8" s="119"/>
      <c r="W8" s="122"/>
      <c r="X8" s="102"/>
      <c r="Y8" s="10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</row>
    <row r="9" spans="1:36" ht="15.75" customHeight="1" thickBot="1">
      <c r="A9" s="90"/>
      <c r="B9" s="90"/>
      <c r="C9" s="94"/>
      <c r="D9" s="94"/>
      <c r="E9" s="25"/>
      <c r="F9" s="62">
        <f>IF(E9=0,0,VLOOKUP(E9,TC!B$3:C$40,2,FALSE))</f>
        <v>0</v>
      </c>
      <c r="G9" s="67"/>
      <c r="H9" s="28" t="str">
        <f>IF(E9=0,"",VLOOKUP(E9,TC!B$3:G$40,6,FALSE))</f>
        <v/>
      </c>
      <c r="I9" s="28" t="str">
        <f t="shared" si="0"/>
        <v/>
      </c>
      <c r="J9" s="97"/>
      <c r="K9" s="100"/>
      <c r="L9" s="126"/>
      <c r="M9" s="129"/>
      <c r="N9" s="80"/>
      <c r="O9" s="83"/>
      <c r="P9" s="85"/>
      <c r="Q9" s="88"/>
      <c r="R9" s="109"/>
      <c r="S9" s="112"/>
      <c r="T9" s="115"/>
      <c r="U9" s="118"/>
      <c r="V9" s="120"/>
      <c r="W9" s="123"/>
      <c r="X9" s="103"/>
      <c r="Y9" s="106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</row>
    <row r="10" spans="1:36" ht="15.75" customHeight="1" thickTop="1">
      <c r="A10" s="90"/>
      <c r="B10" s="90"/>
      <c r="C10" s="134" t="s">
        <v>7</v>
      </c>
      <c r="D10" s="93"/>
      <c r="E10" s="22" t="s">
        <v>20</v>
      </c>
      <c r="F10" s="63">
        <f>IF(E10=0,0,VLOOKUP(E10,TC!B$3:C$40,2,FALSE))</f>
        <v>0.96</v>
      </c>
      <c r="G10" s="66">
        <f>13*30</f>
        <v>390</v>
      </c>
      <c r="H10" s="10">
        <f>IF(E10=0,"",VLOOKUP(E10,TC!B$3:G$40,6,FALSE))</f>
        <v>9.4010344000000003</v>
      </c>
      <c r="I10" s="10">
        <f t="shared" si="0"/>
        <v>3666.4034160000001</v>
      </c>
      <c r="J10" s="95">
        <v>720</v>
      </c>
      <c r="K10" s="137">
        <f t="shared" ref="K10" si="4">F10*G10+F11*G11+F12*G12</f>
        <v>374.4</v>
      </c>
      <c r="L10" s="139"/>
      <c r="M10" s="141"/>
      <c r="N10" s="158"/>
      <c r="O10" s="149"/>
      <c r="P10" s="151"/>
      <c r="Q10" s="153"/>
      <c r="R10" s="155"/>
      <c r="S10" s="130"/>
      <c r="T10" s="132"/>
      <c r="U10" s="160"/>
      <c r="V10" s="162"/>
      <c r="W10" s="144"/>
      <c r="X10" s="146">
        <f t="shared" ref="X10" si="5">SUM(K10:W12)</f>
        <v>374.4</v>
      </c>
      <c r="Y10" s="104">
        <f t="shared" si="3"/>
        <v>0.52</v>
      </c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</row>
    <row r="11" spans="1:36" ht="15" customHeight="1">
      <c r="A11" s="90"/>
      <c r="B11" s="90"/>
      <c r="C11" s="93"/>
      <c r="D11" s="93"/>
      <c r="E11" s="22"/>
      <c r="F11" s="61">
        <f>IF(E11=0,0,VLOOKUP(E11,TC!B$3:C$40,2,FALSE))</f>
        <v>0</v>
      </c>
      <c r="G11" s="66"/>
      <c r="H11" s="27"/>
      <c r="I11" s="27"/>
      <c r="J11" s="96"/>
      <c r="K11" s="99"/>
      <c r="L11" s="125"/>
      <c r="M11" s="142"/>
      <c r="N11" s="79"/>
      <c r="O11" s="82"/>
      <c r="P11" s="84"/>
      <c r="Q11" s="87"/>
      <c r="R11" s="108"/>
      <c r="S11" s="111"/>
      <c r="T11" s="114"/>
      <c r="U11" s="117"/>
      <c r="V11" s="163"/>
      <c r="W11" s="122"/>
      <c r="X11" s="147"/>
      <c r="Y11" s="10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</row>
    <row r="12" spans="1:36" ht="15.75" customHeight="1" thickBot="1">
      <c r="A12" s="91"/>
      <c r="B12" s="91"/>
      <c r="C12" s="135"/>
      <c r="D12" s="135"/>
      <c r="E12" s="23"/>
      <c r="F12" s="64">
        <f>IF(E12=0,0,VLOOKUP(E12,TC!B$3:C$40,2,FALSE))</f>
        <v>0</v>
      </c>
      <c r="G12" s="69"/>
      <c r="H12" s="12"/>
      <c r="I12" s="12"/>
      <c r="J12" s="136"/>
      <c r="K12" s="138"/>
      <c r="L12" s="140"/>
      <c r="M12" s="143"/>
      <c r="N12" s="159"/>
      <c r="O12" s="150"/>
      <c r="P12" s="152"/>
      <c r="Q12" s="154"/>
      <c r="R12" s="156"/>
      <c r="S12" s="131"/>
      <c r="T12" s="133"/>
      <c r="U12" s="161"/>
      <c r="V12" s="164"/>
      <c r="W12" s="145"/>
      <c r="X12" s="148"/>
      <c r="Y12" s="106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</row>
    <row r="13" spans="1:36" ht="15.75" customHeight="1">
      <c r="A13" s="89" t="s">
        <v>50</v>
      </c>
      <c r="B13" s="89">
        <f>+B7+1</f>
        <v>44532</v>
      </c>
      <c r="C13" s="92" t="s">
        <v>8</v>
      </c>
      <c r="D13" s="92"/>
      <c r="E13" s="22" t="s">
        <v>20</v>
      </c>
      <c r="F13" s="60">
        <f>IF(E13=0,0,VLOOKUP(E13,TC!B$3:C$40,2,FALSE))</f>
        <v>0.96</v>
      </c>
      <c r="G13" s="65">
        <f>14*30</f>
        <v>420</v>
      </c>
      <c r="H13" s="10">
        <f>IF(E13=0,"",VLOOKUP(E13,TC!B$3:G$40,6,FALSE))</f>
        <v>9.4010344000000003</v>
      </c>
      <c r="I13" s="10">
        <f t="shared" ref="I13" si="6">IF(H13="","",G13*H13)</f>
        <v>3948.434448</v>
      </c>
      <c r="J13" s="95">
        <v>720</v>
      </c>
      <c r="K13" s="98">
        <f t="shared" ref="K13" si="7">F13*G13+F14*G14+F15*G15</f>
        <v>403.2</v>
      </c>
      <c r="L13" s="124"/>
      <c r="M13" s="168"/>
      <c r="N13" s="78"/>
      <c r="O13" s="81"/>
      <c r="P13" s="157"/>
      <c r="Q13" s="86"/>
      <c r="R13" s="107"/>
      <c r="S13" s="110"/>
      <c r="T13" s="113"/>
      <c r="U13" s="165"/>
      <c r="V13" s="119"/>
      <c r="W13" s="121"/>
      <c r="X13" s="101">
        <f t="shared" ref="X13" si="8">SUM(K13:W15)</f>
        <v>403.2</v>
      </c>
      <c r="Y13" s="104">
        <f t="shared" si="3"/>
        <v>0.55999999999999994</v>
      </c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</row>
    <row r="14" spans="1:36" ht="15" customHeight="1">
      <c r="A14" s="90"/>
      <c r="B14" s="90"/>
      <c r="C14" s="93"/>
      <c r="D14" s="93"/>
      <c r="E14" s="22"/>
      <c r="F14" s="61">
        <f>IF(E14=0,0,VLOOKUP(E14,TC!B$3:C$40,2,FALSE))</f>
        <v>0</v>
      </c>
      <c r="G14" s="66"/>
      <c r="H14" s="27"/>
      <c r="I14" s="27"/>
      <c r="J14" s="96"/>
      <c r="K14" s="99"/>
      <c r="L14" s="125"/>
      <c r="M14" s="142"/>
      <c r="N14" s="79"/>
      <c r="O14" s="82"/>
      <c r="P14" s="84"/>
      <c r="Q14" s="87"/>
      <c r="R14" s="108"/>
      <c r="S14" s="111"/>
      <c r="T14" s="114"/>
      <c r="U14" s="166"/>
      <c r="V14" s="119"/>
      <c r="W14" s="122"/>
      <c r="X14" s="102"/>
      <c r="Y14" s="10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</row>
    <row r="15" spans="1:36" ht="15.75" customHeight="1" thickBot="1">
      <c r="A15" s="90"/>
      <c r="B15" s="90"/>
      <c r="C15" s="94"/>
      <c r="D15" s="94"/>
      <c r="E15" s="25"/>
      <c r="F15" s="62">
        <f>IF(E15=0,0,VLOOKUP(E15,TC!B$3:C$40,2,FALSE))</f>
        <v>0</v>
      </c>
      <c r="G15" s="67"/>
      <c r="H15" s="28"/>
      <c r="I15" s="28"/>
      <c r="J15" s="97"/>
      <c r="K15" s="100"/>
      <c r="L15" s="126"/>
      <c r="M15" s="169"/>
      <c r="N15" s="80"/>
      <c r="O15" s="83"/>
      <c r="P15" s="85"/>
      <c r="Q15" s="88"/>
      <c r="R15" s="109"/>
      <c r="S15" s="112"/>
      <c r="T15" s="115"/>
      <c r="U15" s="167"/>
      <c r="V15" s="120"/>
      <c r="W15" s="123"/>
      <c r="X15" s="103"/>
      <c r="Y15" s="106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</row>
    <row r="16" spans="1:36" ht="15.75" customHeight="1" thickTop="1">
      <c r="A16" s="90"/>
      <c r="B16" s="90"/>
      <c r="C16" s="134" t="s">
        <v>7</v>
      </c>
      <c r="D16" s="93"/>
      <c r="E16" s="22"/>
      <c r="F16" s="63">
        <f>IF(E16=0,0,VLOOKUP(E16,TC!B$3:C$40,2,FALSE))</f>
        <v>0</v>
      </c>
      <c r="G16" s="66"/>
      <c r="H16" s="27"/>
      <c r="I16" s="27"/>
      <c r="J16" s="95">
        <v>720</v>
      </c>
      <c r="K16" s="137">
        <f t="shared" ref="K16" si="9">F16*G16+F17*G17+F18*G18</f>
        <v>0</v>
      </c>
      <c r="L16" s="139"/>
      <c r="M16" s="141"/>
      <c r="N16" s="158"/>
      <c r="O16" s="175"/>
      <c r="P16" s="177">
        <v>720</v>
      </c>
      <c r="Q16" s="153"/>
      <c r="R16" s="180"/>
      <c r="S16" s="130"/>
      <c r="T16" s="132"/>
      <c r="U16" s="160"/>
      <c r="V16" s="162"/>
      <c r="W16" s="144"/>
      <c r="X16" s="173">
        <f t="shared" ref="X16" si="10">SUM(K16:W18)</f>
        <v>720</v>
      </c>
      <c r="Y16" s="104">
        <f t="shared" si="3"/>
        <v>1</v>
      </c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</row>
    <row r="17" spans="1:36" ht="15" customHeight="1">
      <c r="A17" s="90"/>
      <c r="B17" s="90"/>
      <c r="C17" s="93"/>
      <c r="D17" s="93"/>
      <c r="E17" s="22"/>
      <c r="F17" s="61">
        <f>IF(E17=0,0,VLOOKUP(E17,TC!B$3:C$40,2,FALSE))</f>
        <v>0</v>
      </c>
      <c r="G17" s="66"/>
      <c r="H17" s="27"/>
      <c r="I17" s="27"/>
      <c r="J17" s="96"/>
      <c r="K17" s="99"/>
      <c r="L17" s="125"/>
      <c r="M17" s="142"/>
      <c r="N17" s="79"/>
      <c r="O17" s="171"/>
      <c r="P17" s="178"/>
      <c r="Q17" s="87"/>
      <c r="R17" s="181"/>
      <c r="S17" s="111"/>
      <c r="T17" s="114"/>
      <c r="U17" s="117"/>
      <c r="V17" s="163"/>
      <c r="W17" s="122"/>
      <c r="X17" s="102"/>
      <c r="Y17" s="10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</row>
    <row r="18" spans="1:36" ht="15.75" customHeight="1" thickBot="1">
      <c r="A18" s="91"/>
      <c r="B18" s="91"/>
      <c r="C18" s="135"/>
      <c r="D18" s="135"/>
      <c r="E18" s="23"/>
      <c r="F18" s="64">
        <f>IF(E18=0,0,VLOOKUP(E18,TC!B$3:C$40,2,FALSE))</f>
        <v>0</v>
      </c>
      <c r="G18" s="69"/>
      <c r="H18" s="12"/>
      <c r="I18" s="12"/>
      <c r="J18" s="136"/>
      <c r="K18" s="138"/>
      <c r="L18" s="140"/>
      <c r="M18" s="143"/>
      <c r="N18" s="159"/>
      <c r="O18" s="176"/>
      <c r="P18" s="179"/>
      <c r="Q18" s="154"/>
      <c r="R18" s="182"/>
      <c r="S18" s="131"/>
      <c r="T18" s="133"/>
      <c r="U18" s="161"/>
      <c r="V18" s="164"/>
      <c r="W18" s="145"/>
      <c r="X18" s="174"/>
      <c r="Y18" s="106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</row>
    <row r="19" spans="1:36" ht="15.75" customHeight="1">
      <c r="A19" s="89" t="s">
        <v>51</v>
      </c>
      <c r="B19" s="89">
        <f>+B13+1</f>
        <v>44533</v>
      </c>
      <c r="C19" s="92" t="s">
        <v>8</v>
      </c>
      <c r="D19" s="92"/>
      <c r="E19" s="22" t="s">
        <v>25</v>
      </c>
      <c r="F19" s="60">
        <f>IF(E19=0,0,VLOOKUP(E19,TC!B$3:C$40,2,FALSE))</f>
        <v>1.4814814814814814</v>
      </c>
      <c r="G19" s="65">
        <f>3*14.9</f>
        <v>44.7</v>
      </c>
      <c r="H19" s="10">
        <f>IF(E19=0,"",VLOOKUP(E19,TC!B$3:G$40,6,FALSE))</f>
        <v>16.5691834</v>
      </c>
      <c r="I19" s="10">
        <f t="shared" ref="I19" si="11">IF(H19="","",G19*H19)</f>
        <v>740.64249798000003</v>
      </c>
      <c r="J19" s="95">
        <v>720</v>
      </c>
      <c r="K19" s="98">
        <f t="shared" ref="K19" si="12">F19*G19+F20*G20+F21*G21</f>
        <v>66.222222222222229</v>
      </c>
      <c r="L19" s="124"/>
      <c r="M19" s="168">
        <v>60</v>
      </c>
      <c r="N19" s="78"/>
      <c r="O19" s="170"/>
      <c r="P19" s="157">
        <f>8*60</f>
        <v>480</v>
      </c>
      <c r="Q19" s="86"/>
      <c r="R19" s="107"/>
      <c r="S19" s="110"/>
      <c r="T19" s="113"/>
      <c r="U19" s="116"/>
      <c r="V19" s="119"/>
      <c r="W19" s="121"/>
      <c r="X19" s="101">
        <f t="shared" ref="X19" si="13">SUM(K19:W21)</f>
        <v>606.22222222222217</v>
      </c>
      <c r="Y19" s="104">
        <f t="shared" si="3"/>
        <v>0.84197530864197523</v>
      </c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</row>
    <row r="20" spans="1:36" ht="15" customHeight="1">
      <c r="A20" s="90"/>
      <c r="B20" s="90"/>
      <c r="C20" s="93"/>
      <c r="D20" s="93"/>
      <c r="E20" s="22"/>
      <c r="F20" s="61">
        <f>IF(E20=0,0,VLOOKUP(E20,TC!B$3:C$40,2,FALSE))</f>
        <v>0</v>
      </c>
      <c r="G20" s="66"/>
      <c r="H20" s="27"/>
      <c r="I20" s="27"/>
      <c r="J20" s="96"/>
      <c r="K20" s="99"/>
      <c r="L20" s="125"/>
      <c r="M20" s="142"/>
      <c r="N20" s="79"/>
      <c r="O20" s="171"/>
      <c r="P20" s="84"/>
      <c r="Q20" s="87"/>
      <c r="R20" s="108"/>
      <c r="S20" s="111"/>
      <c r="T20" s="114"/>
      <c r="U20" s="117"/>
      <c r="V20" s="119"/>
      <c r="W20" s="122"/>
      <c r="X20" s="102"/>
      <c r="Y20" s="10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</row>
    <row r="21" spans="1:36" ht="15.75" customHeight="1" thickBot="1">
      <c r="A21" s="90"/>
      <c r="B21" s="90"/>
      <c r="C21" s="94"/>
      <c r="D21" s="94"/>
      <c r="E21" s="25"/>
      <c r="F21" s="62">
        <f>IF(E21=0,0,VLOOKUP(E21,TC!B$3:C$40,2,FALSE))</f>
        <v>0</v>
      </c>
      <c r="G21" s="67"/>
      <c r="H21" s="28"/>
      <c r="I21" s="28"/>
      <c r="J21" s="97"/>
      <c r="K21" s="100"/>
      <c r="L21" s="126"/>
      <c r="M21" s="169"/>
      <c r="N21" s="80"/>
      <c r="O21" s="172"/>
      <c r="P21" s="85"/>
      <c r="Q21" s="88"/>
      <c r="R21" s="109"/>
      <c r="S21" s="112"/>
      <c r="T21" s="115"/>
      <c r="U21" s="118"/>
      <c r="V21" s="120"/>
      <c r="W21" s="123"/>
      <c r="X21" s="103"/>
      <c r="Y21" s="106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</row>
    <row r="22" spans="1:36" ht="15" customHeight="1" thickTop="1">
      <c r="A22" s="90"/>
      <c r="B22" s="90"/>
      <c r="C22" s="134" t="s">
        <v>7</v>
      </c>
      <c r="D22" s="93"/>
      <c r="E22" s="22"/>
      <c r="F22" s="63">
        <f>IF(E22=0,0,VLOOKUP(E22,TC!B$3:C$40,2,FALSE))</f>
        <v>0</v>
      </c>
      <c r="G22" s="68"/>
      <c r="H22" s="5"/>
      <c r="I22" s="5"/>
      <c r="J22" s="96">
        <v>720</v>
      </c>
      <c r="K22" s="99">
        <f t="shared" ref="K22" si="14">F22*G22+F23*G23+F24*G24</f>
        <v>0</v>
      </c>
      <c r="L22" s="125"/>
      <c r="M22" s="142"/>
      <c r="N22" s="79"/>
      <c r="O22" s="82"/>
      <c r="P22" s="84">
        <v>720</v>
      </c>
      <c r="Q22" s="87"/>
      <c r="R22" s="108"/>
      <c r="S22" s="111"/>
      <c r="T22" s="132"/>
      <c r="U22" s="117"/>
      <c r="V22" s="162"/>
      <c r="W22" s="122"/>
      <c r="X22" s="102">
        <f t="shared" ref="X22" si="15">SUM(K22:W24)</f>
        <v>720</v>
      </c>
      <c r="Y22" s="104">
        <f t="shared" si="3"/>
        <v>1</v>
      </c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</row>
    <row r="23" spans="1:36" ht="15" customHeight="1">
      <c r="A23" s="90"/>
      <c r="B23" s="90"/>
      <c r="C23" s="93"/>
      <c r="D23" s="93"/>
      <c r="E23" s="22"/>
      <c r="F23" s="61">
        <f>IF(E23=0,0,VLOOKUP(E23,TC!B$3:C$40,2,FALSE))</f>
        <v>0</v>
      </c>
      <c r="G23" s="66"/>
      <c r="H23" s="27"/>
      <c r="I23" s="27"/>
      <c r="J23" s="96"/>
      <c r="K23" s="99"/>
      <c r="L23" s="125"/>
      <c r="M23" s="142"/>
      <c r="N23" s="79"/>
      <c r="O23" s="82"/>
      <c r="P23" s="84"/>
      <c r="Q23" s="87"/>
      <c r="R23" s="108"/>
      <c r="S23" s="111"/>
      <c r="T23" s="114"/>
      <c r="U23" s="117"/>
      <c r="V23" s="163"/>
      <c r="W23" s="122"/>
      <c r="X23" s="102"/>
      <c r="Y23" s="10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</row>
    <row r="24" spans="1:36" ht="15.75" customHeight="1" thickBot="1">
      <c r="A24" s="91"/>
      <c r="B24" s="91"/>
      <c r="C24" s="135"/>
      <c r="D24" s="135"/>
      <c r="E24" s="23"/>
      <c r="F24" s="64">
        <f>IF(E24=0,0,VLOOKUP(E24,TC!B$3:C$40,2,FALSE))</f>
        <v>0</v>
      </c>
      <c r="G24" s="69"/>
      <c r="H24" s="12"/>
      <c r="I24" s="12"/>
      <c r="J24" s="136"/>
      <c r="K24" s="138"/>
      <c r="L24" s="140"/>
      <c r="M24" s="143"/>
      <c r="N24" s="159"/>
      <c r="O24" s="150"/>
      <c r="P24" s="152"/>
      <c r="Q24" s="154"/>
      <c r="R24" s="156"/>
      <c r="S24" s="131"/>
      <c r="T24" s="133"/>
      <c r="U24" s="161"/>
      <c r="V24" s="164"/>
      <c r="W24" s="145"/>
      <c r="X24" s="174"/>
      <c r="Y24" s="106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</row>
    <row r="25" spans="1:36" ht="15" customHeight="1">
      <c r="A25" s="89" t="s">
        <v>52</v>
      </c>
      <c r="B25" s="89">
        <f>B19+1</f>
        <v>44534</v>
      </c>
      <c r="C25" s="92" t="s">
        <v>8</v>
      </c>
      <c r="D25" s="92"/>
      <c r="E25" s="24"/>
      <c r="F25" s="60">
        <f>IF(E25=0,0,VLOOKUP(E25,TC!B$3:C$40,2,FALSE))</f>
        <v>0</v>
      </c>
      <c r="G25" s="65"/>
      <c r="H25" s="10"/>
      <c r="I25" s="10"/>
      <c r="J25" s="95">
        <v>720</v>
      </c>
      <c r="K25" s="98">
        <f t="shared" ref="K25" si="16">F25*G25+F26*G26+F27*G27</f>
        <v>0</v>
      </c>
      <c r="L25" s="124"/>
      <c r="M25" s="168"/>
      <c r="N25" s="78"/>
      <c r="O25" s="81"/>
      <c r="P25" s="157">
        <v>720</v>
      </c>
      <c r="Q25" s="86"/>
      <c r="R25" s="107"/>
      <c r="S25" s="110"/>
      <c r="T25" s="113"/>
      <c r="U25" s="116"/>
      <c r="V25" s="119"/>
      <c r="W25" s="121"/>
      <c r="X25" s="101">
        <f t="shared" ref="X25" si="17">SUM(K25:W27)</f>
        <v>720</v>
      </c>
      <c r="Y25" s="104">
        <f t="shared" si="3"/>
        <v>1</v>
      </c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</row>
    <row r="26" spans="1:36" ht="15" customHeight="1">
      <c r="A26" s="90"/>
      <c r="B26" s="90"/>
      <c r="C26" s="93"/>
      <c r="D26" s="93"/>
      <c r="E26" s="22"/>
      <c r="F26" s="61">
        <f>IF(E26=0,0,VLOOKUP(E26,TC!B$3:C$40,2,FALSE))</f>
        <v>0</v>
      </c>
      <c r="G26" s="66"/>
      <c r="H26" s="27"/>
      <c r="I26" s="27"/>
      <c r="J26" s="96"/>
      <c r="K26" s="99"/>
      <c r="L26" s="125"/>
      <c r="M26" s="142"/>
      <c r="N26" s="79"/>
      <c r="O26" s="82"/>
      <c r="P26" s="84"/>
      <c r="Q26" s="87"/>
      <c r="R26" s="108"/>
      <c r="S26" s="111"/>
      <c r="T26" s="114"/>
      <c r="U26" s="117"/>
      <c r="V26" s="119"/>
      <c r="W26" s="122"/>
      <c r="X26" s="102"/>
      <c r="Y26" s="10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</row>
    <row r="27" spans="1:36" ht="15.75" customHeight="1" thickBot="1">
      <c r="A27" s="90"/>
      <c r="B27" s="90"/>
      <c r="C27" s="94"/>
      <c r="D27" s="94"/>
      <c r="E27" s="25"/>
      <c r="F27" s="62">
        <f>IF(E27=0,0,VLOOKUP(E27,TC!B$3:C$40,2,FALSE))</f>
        <v>0</v>
      </c>
      <c r="G27" s="67"/>
      <c r="H27" s="28"/>
      <c r="I27" s="28"/>
      <c r="J27" s="97"/>
      <c r="K27" s="100"/>
      <c r="L27" s="126"/>
      <c r="M27" s="169"/>
      <c r="N27" s="80"/>
      <c r="O27" s="83"/>
      <c r="P27" s="85"/>
      <c r="Q27" s="88"/>
      <c r="R27" s="109"/>
      <c r="S27" s="112"/>
      <c r="T27" s="115"/>
      <c r="U27" s="118"/>
      <c r="V27" s="120"/>
      <c r="W27" s="123"/>
      <c r="X27" s="103"/>
      <c r="Y27" s="106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</row>
    <row r="28" spans="1:36" ht="15.75" customHeight="1" thickTop="1">
      <c r="A28" s="90"/>
      <c r="B28" s="90"/>
      <c r="C28" s="134" t="s">
        <v>7</v>
      </c>
      <c r="D28" s="183"/>
      <c r="E28" s="22"/>
      <c r="F28" s="63">
        <f>IF(E28=0,0,VLOOKUP(E28,TC!B$3:C$40,2,FALSE))</f>
        <v>0</v>
      </c>
      <c r="G28" s="66"/>
      <c r="H28" s="27"/>
      <c r="I28" s="27"/>
      <c r="J28" s="95">
        <v>720</v>
      </c>
      <c r="K28" s="137">
        <f t="shared" ref="K28" si="18">F28*G28+F29*G29+F30*G30</f>
        <v>0</v>
      </c>
      <c r="L28" s="139"/>
      <c r="M28" s="141"/>
      <c r="N28" s="158"/>
      <c r="O28" s="149"/>
      <c r="P28" s="151">
        <v>720</v>
      </c>
      <c r="Q28" s="153"/>
      <c r="R28" s="180"/>
      <c r="S28" s="130"/>
      <c r="T28" s="132"/>
      <c r="U28" s="160"/>
      <c r="V28" s="162"/>
      <c r="W28" s="144"/>
      <c r="X28" s="173">
        <f t="shared" ref="X28" si="19">SUM(K28:W30)</f>
        <v>720</v>
      </c>
      <c r="Y28" s="104">
        <f t="shared" si="3"/>
        <v>1</v>
      </c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</row>
    <row r="29" spans="1:36" ht="15" customHeight="1">
      <c r="A29" s="90"/>
      <c r="B29" s="90"/>
      <c r="C29" s="93"/>
      <c r="D29" s="93"/>
      <c r="E29" s="22"/>
      <c r="F29" s="61">
        <f>IF(E29=0,0,VLOOKUP(E29,TC!B$3:C$40,2,FALSE))</f>
        <v>0</v>
      </c>
      <c r="G29" s="66"/>
      <c r="H29" s="27"/>
      <c r="I29" s="27"/>
      <c r="J29" s="96"/>
      <c r="K29" s="99"/>
      <c r="L29" s="125"/>
      <c r="M29" s="142"/>
      <c r="N29" s="79"/>
      <c r="O29" s="82"/>
      <c r="P29" s="84"/>
      <c r="Q29" s="87"/>
      <c r="R29" s="181"/>
      <c r="S29" s="111"/>
      <c r="T29" s="114"/>
      <c r="U29" s="117"/>
      <c r="V29" s="163"/>
      <c r="W29" s="122"/>
      <c r="X29" s="102"/>
      <c r="Y29" s="10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</row>
    <row r="30" spans="1:36" ht="15.75" customHeight="1" thickBot="1">
      <c r="A30" s="91"/>
      <c r="B30" s="91"/>
      <c r="C30" s="135"/>
      <c r="D30" s="135"/>
      <c r="E30" s="26"/>
      <c r="F30" s="64">
        <f>IF(E30=0,0,VLOOKUP(E30,TC!B$3:C$40,2,FALSE))</f>
        <v>0</v>
      </c>
      <c r="G30" s="69"/>
      <c r="H30" s="12"/>
      <c r="I30" s="12"/>
      <c r="J30" s="136"/>
      <c r="K30" s="138"/>
      <c r="L30" s="140"/>
      <c r="M30" s="143"/>
      <c r="N30" s="159"/>
      <c r="O30" s="150"/>
      <c r="P30" s="152"/>
      <c r="Q30" s="154"/>
      <c r="R30" s="182"/>
      <c r="S30" s="131"/>
      <c r="T30" s="133"/>
      <c r="U30" s="161"/>
      <c r="V30" s="164"/>
      <c r="W30" s="145"/>
      <c r="X30" s="174"/>
      <c r="Y30" s="106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</row>
    <row r="31" spans="1:36" ht="15" customHeight="1">
      <c r="A31" s="89" t="s">
        <v>47</v>
      </c>
      <c r="B31" s="89">
        <f>+B25+2</f>
        <v>44536</v>
      </c>
      <c r="C31" s="92" t="s">
        <v>8</v>
      </c>
      <c r="D31" s="92"/>
      <c r="E31" s="22" t="s">
        <v>25</v>
      </c>
      <c r="F31" s="60">
        <f>IF(E31=0,0,VLOOKUP(E31,TC!B$3:C$40,2,FALSE))</f>
        <v>1.4814814814814814</v>
      </c>
      <c r="G31" s="65">
        <f>3*14.9</f>
        <v>44.7</v>
      </c>
      <c r="H31" s="10">
        <f>IF(E31=0,"",VLOOKUP(E31,TC!B$3:G$40,6,FALSE))</f>
        <v>16.5691834</v>
      </c>
      <c r="I31" s="10">
        <f t="shared" ref="I31" si="20">IF(H31="","",G31*H31)</f>
        <v>740.64249798000003</v>
      </c>
      <c r="J31" s="95">
        <v>720</v>
      </c>
      <c r="K31" s="98">
        <f>F31*G31+F32*G32+F33*G33</f>
        <v>66.222222222222229</v>
      </c>
      <c r="L31" s="124"/>
      <c r="M31" s="127"/>
      <c r="N31" s="78"/>
      <c r="O31" s="81"/>
      <c r="P31" s="157">
        <f>8*60</f>
        <v>480</v>
      </c>
      <c r="Q31" s="86"/>
      <c r="R31" s="107"/>
      <c r="S31" s="110"/>
      <c r="T31" s="113"/>
      <c r="U31" s="116"/>
      <c r="V31" s="119"/>
      <c r="W31" s="121"/>
      <c r="X31" s="101">
        <f t="shared" ref="X31" si="21">SUM(K31:W33)</f>
        <v>546.22222222222217</v>
      </c>
      <c r="Y31" s="104">
        <f t="shared" si="3"/>
        <v>0.75864197530864186</v>
      </c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</row>
    <row r="32" spans="1:36" ht="15" customHeight="1">
      <c r="A32" s="90"/>
      <c r="B32" s="90"/>
      <c r="C32" s="93"/>
      <c r="D32" s="93"/>
      <c r="E32" s="22"/>
      <c r="F32" s="61">
        <f>IF(E32=0,0,VLOOKUP(E32,TC!B$3:C$40,2,FALSE))</f>
        <v>0</v>
      </c>
      <c r="G32" s="66"/>
      <c r="H32" s="27"/>
      <c r="I32" s="27"/>
      <c r="J32" s="96"/>
      <c r="K32" s="99"/>
      <c r="L32" s="125"/>
      <c r="M32" s="128"/>
      <c r="N32" s="79"/>
      <c r="O32" s="82"/>
      <c r="P32" s="84"/>
      <c r="Q32" s="87"/>
      <c r="R32" s="108"/>
      <c r="S32" s="111"/>
      <c r="T32" s="114"/>
      <c r="U32" s="117"/>
      <c r="V32" s="119"/>
      <c r="W32" s="122"/>
      <c r="X32" s="102"/>
      <c r="Y32" s="10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</row>
    <row r="33" spans="1:36" ht="15.75" customHeight="1" thickBot="1">
      <c r="A33" s="90"/>
      <c r="B33" s="90"/>
      <c r="C33" s="94"/>
      <c r="D33" s="94"/>
      <c r="E33" s="25"/>
      <c r="F33" s="62">
        <f>IF(E33=0,0,VLOOKUP(E33,TC!B$3:C$40,2,FALSE))</f>
        <v>0</v>
      </c>
      <c r="G33" s="67"/>
      <c r="H33" s="28"/>
      <c r="I33" s="28"/>
      <c r="J33" s="97"/>
      <c r="K33" s="100"/>
      <c r="L33" s="126"/>
      <c r="M33" s="129"/>
      <c r="N33" s="80"/>
      <c r="O33" s="83"/>
      <c r="P33" s="85"/>
      <c r="Q33" s="88"/>
      <c r="R33" s="109"/>
      <c r="S33" s="112"/>
      <c r="T33" s="115"/>
      <c r="U33" s="118"/>
      <c r="V33" s="120"/>
      <c r="W33" s="123"/>
      <c r="X33" s="103"/>
      <c r="Y33" s="106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</row>
    <row r="34" spans="1:36" ht="15.75" customHeight="1" thickTop="1">
      <c r="A34" s="90"/>
      <c r="B34" s="90"/>
      <c r="C34" s="134" t="s">
        <v>7</v>
      </c>
      <c r="D34" s="183"/>
      <c r="E34" s="22" t="s">
        <v>25</v>
      </c>
      <c r="F34" s="63">
        <f>IF(E34=0,0,VLOOKUP(E34,TC!B$3:C$40,2,FALSE))</f>
        <v>1.4814814814814814</v>
      </c>
      <c r="G34" s="66">
        <f>13*14.9</f>
        <v>193.70000000000002</v>
      </c>
      <c r="H34" s="10">
        <f>IF(E34=0,"",VLOOKUP(E34,TC!B$3:G$40,6,FALSE))</f>
        <v>16.5691834</v>
      </c>
      <c r="I34" s="10">
        <f t="shared" ref="I34" si="22">IF(H34="","",G34*H34)</f>
        <v>3209.4508245800002</v>
      </c>
      <c r="J34" s="95">
        <v>720</v>
      </c>
      <c r="K34" s="137">
        <f>F34*G34+F35*G35+F36*G36</f>
        <v>286.96296296296299</v>
      </c>
      <c r="L34" s="139"/>
      <c r="M34" s="141">
        <v>60</v>
      </c>
      <c r="N34" s="158"/>
      <c r="O34" s="149"/>
      <c r="P34" s="151">
        <f>4*60</f>
        <v>240</v>
      </c>
      <c r="Q34" s="153"/>
      <c r="R34" s="155"/>
      <c r="S34" s="130"/>
      <c r="T34" s="132"/>
      <c r="U34" s="160"/>
      <c r="V34" s="162"/>
      <c r="W34" s="144"/>
      <c r="X34" s="173">
        <f t="shared" ref="X34" si="23">SUM(K34:W36)</f>
        <v>586.96296296296305</v>
      </c>
      <c r="Y34" s="104">
        <f t="shared" si="3"/>
        <v>0.81522633744855977</v>
      </c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</row>
    <row r="35" spans="1:36" ht="15" customHeight="1">
      <c r="A35" s="90"/>
      <c r="B35" s="90"/>
      <c r="C35" s="93"/>
      <c r="D35" s="93"/>
      <c r="E35" s="22"/>
      <c r="F35" s="61">
        <f>IF(E35=0,0,VLOOKUP(E35,TC!B$3:C$40,2,FALSE))</f>
        <v>0</v>
      </c>
      <c r="G35" s="66"/>
      <c r="H35" s="27"/>
      <c r="I35" s="27"/>
      <c r="J35" s="96"/>
      <c r="K35" s="99"/>
      <c r="L35" s="125"/>
      <c r="M35" s="142"/>
      <c r="N35" s="79"/>
      <c r="O35" s="82"/>
      <c r="P35" s="84"/>
      <c r="Q35" s="87"/>
      <c r="R35" s="108"/>
      <c r="S35" s="111"/>
      <c r="T35" s="114"/>
      <c r="U35" s="117"/>
      <c r="V35" s="163"/>
      <c r="W35" s="122"/>
      <c r="X35" s="102"/>
      <c r="Y35" s="10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</row>
    <row r="36" spans="1:36" ht="15.75" customHeight="1" thickBot="1">
      <c r="A36" s="91"/>
      <c r="B36" s="91"/>
      <c r="C36" s="135"/>
      <c r="D36" s="135"/>
      <c r="E36" s="23"/>
      <c r="F36" s="64">
        <f>IF(E36=0,0,VLOOKUP(E36,TC!B$3:C$40,2,FALSE))</f>
        <v>0</v>
      </c>
      <c r="G36" s="69"/>
      <c r="H36" s="12"/>
      <c r="I36" s="12"/>
      <c r="J36" s="136"/>
      <c r="K36" s="138"/>
      <c r="L36" s="140"/>
      <c r="M36" s="143"/>
      <c r="N36" s="159"/>
      <c r="O36" s="150"/>
      <c r="P36" s="152"/>
      <c r="Q36" s="154"/>
      <c r="R36" s="156"/>
      <c r="S36" s="131"/>
      <c r="T36" s="133"/>
      <c r="U36" s="161"/>
      <c r="V36" s="164"/>
      <c r="W36" s="145"/>
      <c r="X36" s="174"/>
      <c r="Y36" s="106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</row>
    <row r="37" spans="1:36" ht="15" customHeight="1">
      <c r="A37" s="89" t="s">
        <v>48</v>
      </c>
      <c r="B37" s="89">
        <f>+B31+1</f>
        <v>44537</v>
      </c>
      <c r="C37" s="92" t="s">
        <v>8</v>
      </c>
      <c r="D37" s="92"/>
      <c r="E37" s="22" t="s">
        <v>25</v>
      </c>
      <c r="F37" s="60">
        <f>IF(E37=0,0,VLOOKUP(E37,TC!B$3:C$40,2,FALSE))</f>
        <v>1.4814814814814814</v>
      </c>
      <c r="G37" s="65">
        <f>7*14.9</f>
        <v>104.3</v>
      </c>
      <c r="H37" s="10">
        <f>IF(E37=0,"",VLOOKUP(E37,TC!B$3:G$40,6,FALSE))</f>
        <v>16.5691834</v>
      </c>
      <c r="I37" s="10">
        <f t="shared" ref="I37" si="24">IF(H37="","",G37*H37)</f>
        <v>1728.16582862</v>
      </c>
      <c r="J37" s="95">
        <v>720</v>
      </c>
      <c r="K37" s="98">
        <f t="shared" ref="K37" si="25">F37*G37+F38*G38+F39*G39</f>
        <v>154.5185185185185</v>
      </c>
      <c r="L37" s="124"/>
      <c r="M37" s="168">
        <v>60</v>
      </c>
      <c r="N37" s="78"/>
      <c r="O37" s="170"/>
      <c r="P37" s="157">
        <f>5*60</f>
        <v>300</v>
      </c>
      <c r="Q37" s="86"/>
      <c r="R37" s="107"/>
      <c r="S37" s="110"/>
      <c r="T37" s="113"/>
      <c r="U37" s="116"/>
      <c r="V37" s="119"/>
      <c r="W37" s="121"/>
      <c r="X37" s="101">
        <f t="shared" ref="X37" si="26">SUM(K37:W39)</f>
        <v>514.51851851851848</v>
      </c>
      <c r="Y37" s="104">
        <f t="shared" si="3"/>
        <v>0.71460905349794235</v>
      </c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</row>
    <row r="38" spans="1:36" ht="15" customHeight="1">
      <c r="A38" s="90"/>
      <c r="B38" s="90"/>
      <c r="C38" s="93"/>
      <c r="D38" s="93"/>
      <c r="E38" s="22"/>
      <c r="F38" s="61">
        <f>IF(E38=0,0,VLOOKUP(E38,TC!B$3:C$40,2,FALSE))</f>
        <v>0</v>
      </c>
      <c r="G38" s="66"/>
      <c r="H38" s="27"/>
      <c r="I38" s="27"/>
      <c r="J38" s="96"/>
      <c r="K38" s="99"/>
      <c r="L38" s="125"/>
      <c r="M38" s="142"/>
      <c r="N38" s="79"/>
      <c r="O38" s="171"/>
      <c r="P38" s="84"/>
      <c r="Q38" s="87"/>
      <c r="R38" s="108"/>
      <c r="S38" s="111"/>
      <c r="T38" s="114"/>
      <c r="U38" s="117"/>
      <c r="V38" s="119"/>
      <c r="W38" s="122"/>
      <c r="X38" s="102"/>
      <c r="Y38" s="10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</row>
    <row r="39" spans="1:36" ht="15.75" customHeight="1" thickBot="1">
      <c r="A39" s="90"/>
      <c r="B39" s="90"/>
      <c r="C39" s="94"/>
      <c r="D39" s="94"/>
      <c r="E39" s="25"/>
      <c r="F39" s="62">
        <f>IF(E39=0,0,VLOOKUP(E39,TC!B$3:C$40,2,FALSE))</f>
        <v>0</v>
      </c>
      <c r="G39" s="67"/>
      <c r="H39" s="28"/>
      <c r="I39" s="28"/>
      <c r="J39" s="97"/>
      <c r="K39" s="100"/>
      <c r="L39" s="126"/>
      <c r="M39" s="169"/>
      <c r="N39" s="80"/>
      <c r="O39" s="172"/>
      <c r="P39" s="85"/>
      <c r="Q39" s="88"/>
      <c r="R39" s="109"/>
      <c r="S39" s="112"/>
      <c r="T39" s="115"/>
      <c r="U39" s="118"/>
      <c r="V39" s="120"/>
      <c r="W39" s="123"/>
      <c r="X39" s="103"/>
      <c r="Y39" s="106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</row>
    <row r="40" spans="1:36" ht="15.75" customHeight="1" thickTop="1">
      <c r="A40" s="90"/>
      <c r="B40" s="90"/>
      <c r="C40" s="134" t="s">
        <v>7</v>
      </c>
      <c r="D40" s="183"/>
      <c r="E40" s="22" t="s">
        <v>25</v>
      </c>
      <c r="F40" s="63">
        <f>IF(E40=0,0,VLOOKUP(E40,TC!B$3:C$40,2,FALSE))</f>
        <v>1.4814814814814814</v>
      </c>
      <c r="G40" s="66">
        <f>14.9+7*5+7*11.9+7*8.99+13*18</f>
        <v>430.13</v>
      </c>
      <c r="H40" s="10">
        <f>IF(E40=0,"",VLOOKUP(E40,TC!B$3:G$40,6,FALSE))</f>
        <v>16.5691834</v>
      </c>
      <c r="I40" s="10">
        <f t="shared" ref="I40" si="27">IF(H40="","",G40*H40)</f>
        <v>7126.9028558419996</v>
      </c>
      <c r="J40" s="95">
        <v>720</v>
      </c>
      <c r="K40" s="137">
        <f t="shared" ref="K40" si="28">F40*G40+F41*G41+F42*G42</f>
        <v>637.22962962962958</v>
      </c>
      <c r="L40" s="139"/>
      <c r="M40" s="141">
        <v>60</v>
      </c>
      <c r="N40" s="158"/>
      <c r="O40" s="149"/>
      <c r="P40" s="151"/>
      <c r="Q40" s="153"/>
      <c r="R40" s="155"/>
      <c r="S40" s="130"/>
      <c r="T40" s="132"/>
      <c r="U40" s="160"/>
      <c r="V40" s="162"/>
      <c r="W40" s="144"/>
      <c r="X40" s="173">
        <f t="shared" ref="X40" si="29">SUM(K40:W42)</f>
        <v>697.22962962962958</v>
      </c>
      <c r="Y40" s="104">
        <f t="shared" si="3"/>
        <v>0.9683744855967078</v>
      </c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</row>
    <row r="41" spans="1:36" ht="15" customHeight="1">
      <c r="A41" s="90"/>
      <c r="B41" s="90"/>
      <c r="C41" s="93"/>
      <c r="D41" s="93"/>
      <c r="E41" s="22"/>
      <c r="F41" s="61">
        <f>IF(E41=0,0,VLOOKUP(E41,TC!B$3:C$40,2,FALSE))</f>
        <v>0</v>
      </c>
      <c r="G41" s="66"/>
      <c r="H41" s="27"/>
      <c r="I41" s="27"/>
      <c r="J41" s="96"/>
      <c r="K41" s="99"/>
      <c r="L41" s="125"/>
      <c r="M41" s="142"/>
      <c r="N41" s="79"/>
      <c r="O41" s="82"/>
      <c r="P41" s="84"/>
      <c r="Q41" s="87"/>
      <c r="R41" s="108"/>
      <c r="S41" s="111"/>
      <c r="T41" s="114"/>
      <c r="U41" s="117"/>
      <c r="V41" s="163"/>
      <c r="W41" s="122"/>
      <c r="X41" s="102"/>
      <c r="Y41" s="10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</row>
    <row r="42" spans="1:36" ht="15.75" customHeight="1" thickBot="1">
      <c r="A42" s="91"/>
      <c r="B42" s="91"/>
      <c r="C42" s="135"/>
      <c r="D42" s="135"/>
      <c r="E42" s="23"/>
      <c r="F42" s="64">
        <f>IF(E42=0,0,VLOOKUP(E42,TC!B$3:C$40,2,FALSE))</f>
        <v>0</v>
      </c>
      <c r="G42" s="69"/>
      <c r="H42" s="12"/>
      <c r="I42" s="12"/>
      <c r="J42" s="136"/>
      <c r="K42" s="138"/>
      <c r="L42" s="140"/>
      <c r="M42" s="143"/>
      <c r="N42" s="159"/>
      <c r="O42" s="150"/>
      <c r="P42" s="152"/>
      <c r="Q42" s="154"/>
      <c r="R42" s="156"/>
      <c r="S42" s="131"/>
      <c r="T42" s="133"/>
      <c r="U42" s="161"/>
      <c r="V42" s="164"/>
      <c r="W42" s="145"/>
      <c r="X42" s="174"/>
      <c r="Y42" s="106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</row>
    <row r="43" spans="1:36" ht="15.75" customHeight="1">
      <c r="A43" s="89" t="s">
        <v>49</v>
      </c>
      <c r="B43" s="89">
        <f>+B37+1</f>
        <v>44538</v>
      </c>
      <c r="C43" s="92" t="s">
        <v>8</v>
      </c>
      <c r="D43" s="92"/>
      <c r="E43" s="22" t="s">
        <v>25</v>
      </c>
      <c r="F43" s="60">
        <f>IF(E43=0,0,VLOOKUP(E43,TC!B$3:C$40,2,FALSE))</f>
        <v>1.4814814814814814</v>
      </c>
      <c r="G43" s="65">
        <f>8*18</f>
        <v>144</v>
      </c>
      <c r="H43" s="10">
        <f>IF(E43=0,"",VLOOKUP(E43,TC!B$3:G$40,6,FALSE))</f>
        <v>16.5691834</v>
      </c>
      <c r="I43" s="10">
        <f t="shared" ref="I43" si="30">IF(H43="","",G43*H43)</f>
        <v>2385.9624095999998</v>
      </c>
      <c r="J43" s="95">
        <v>720</v>
      </c>
      <c r="K43" s="98">
        <f t="shared" ref="K43" si="31">F43*G43+F44*G44+F45*G45</f>
        <v>414.93333333333328</v>
      </c>
      <c r="L43" s="124">
        <v>60</v>
      </c>
      <c r="M43" s="168">
        <v>60</v>
      </c>
      <c r="N43" s="78"/>
      <c r="O43" s="81"/>
      <c r="P43" s="157"/>
      <c r="Q43" s="86"/>
      <c r="R43" s="107"/>
      <c r="S43" s="110"/>
      <c r="T43" s="113"/>
      <c r="U43" s="116"/>
      <c r="V43" s="119"/>
      <c r="W43" s="121"/>
      <c r="X43" s="101">
        <f t="shared" ref="X43" si="32">SUM(K43:W45)</f>
        <v>534.93333333333328</v>
      </c>
      <c r="Y43" s="104">
        <f t="shared" si="3"/>
        <v>0.74296296296296294</v>
      </c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</row>
    <row r="44" spans="1:36" ht="15" customHeight="1">
      <c r="A44" s="90"/>
      <c r="B44" s="90"/>
      <c r="C44" s="93"/>
      <c r="D44" s="93"/>
      <c r="E44" s="22" t="s">
        <v>20</v>
      </c>
      <c r="F44" s="61">
        <f>IF(E44=0,0,VLOOKUP(E44,TC!B$3:C$40,2,FALSE))</f>
        <v>0.96</v>
      </c>
      <c r="G44" s="66">
        <f>7*30</f>
        <v>210</v>
      </c>
      <c r="H44" s="27">
        <f>IF(E44=0,"",VLOOKUP(E44,TC!B$3:G$40,6,FALSE))</f>
        <v>9.4010344000000003</v>
      </c>
      <c r="I44" s="27">
        <f t="shared" ref="I44" si="33">IF(H44="","",G44*H44)</f>
        <v>1974.217224</v>
      </c>
      <c r="J44" s="96"/>
      <c r="K44" s="99"/>
      <c r="L44" s="125"/>
      <c r="M44" s="142"/>
      <c r="N44" s="79"/>
      <c r="O44" s="82"/>
      <c r="P44" s="84"/>
      <c r="Q44" s="87"/>
      <c r="R44" s="108"/>
      <c r="S44" s="111"/>
      <c r="T44" s="114"/>
      <c r="U44" s="117"/>
      <c r="V44" s="119"/>
      <c r="W44" s="122"/>
      <c r="X44" s="102"/>
      <c r="Y44" s="10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</row>
    <row r="45" spans="1:36" ht="15.75" customHeight="1" thickBot="1">
      <c r="A45" s="90"/>
      <c r="B45" s="90"/>
      <c r="C45" s="94"/>
      <c r="D45" s="94"/>
      <c r="E45" s="25"/>
      <c r="F45" s="62">
        <f>IF(E45=0,0,VLOOKUP(E45,TC!B$3:C$40,2,FALSE))</f>
        <v>0</v>
      </c>
      <c r="G45" s="67"/>
      <c r="H45" s="28"/>
      <c r="I45" s="28"/>
      <c r="J45" s="97"/>
      <c r="K45" s="100"/>
      <c r="L45" s="126"/>
      <c r="M45" s="169"/>
      <c r="N45" s="80"/>
      <c r="O45" s="83"/>
      <c r="P45" s="85"/>
      <c r="Q45" s="88"/>
      <c r="R45" s="109"/>
      <c r="S45" s="112"/>
      <c r="T45" s="115"/>
      <c r="U45" s="118"/>
      <c r="V45" s="120"/>
      <c r="W45" s="123"/>
      <c r="X45" s="103"/>
      <c r="Y45" s="106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</row>
    <row r="46" spans="1:36" ht="15.75" customHeight="1" thickTop="1">
      <c r="A46" s="90"/>
      <c r="B46" s="90"/>
      <c r="C46" s="134" t="s">
        <v>7</v>
      </c>
      <c r="D46" s="183"/>
      <c r="E46" s="22" t="s">
        <v>20</v>
      </c>
      <c r="F46" s="63">
        <f>IF(E46=0,0,VLOOKUP(E46,TC!B$3:C$40,2,FALSE))</f>
        <v>0.96</v>
      </c>
      <c r="G46" s="66">
        <f>2*30</f>
        <v>60</v>
      </c>
      <c r="H46" s="10">
        <f>IF(E46=0,"",VLOOKUP(E46,TC!B$3:G$40,6,FALSE))</f>
        <v>9.4010344000000003</v>
      </c>
      <c r="I46" s="10">
        <f t="shared" ref="I46:I47" si="34">IF(H46="","",G46*H46)</f>
        <v>564.06206399999996</v>
      </c>
      <c r="J46" s="95">
        <v>720</v>
      </c>
      <c r="K46" s="137">
        <f t="shared" ref="K46" si="35">F46*G46+F47*G47+F48*G48</f>
        <v>330.98181818181808</v>
      </c>
      <c r="L46" s="139">
        <v>60</v>
      </c>
      <c r="M46" s="141">
        <v>60</v>
      </c>
      <c r="N46" s="158"/>
      <c r="O46" s="149"/>
      <c r="P46" s="151"/>
      <c r="Q46" s="153"/>
      <c r="R46" s="155"/>
      <c r="S46" s="130"/>
      <c r="T46" s="132"/>
      <c r="U46" s="160"/>
      <c r="V46" s="162"/>
      <c r="W46" s="144"/>
      <c r="X46" s="146">
        <f t="shared" ref="X46" si="36">SUM(K46:W48)</f>
        <v>450.98181818181808</v>
      </c>
      <c r="Y46" s="104">
        <f t="shared" si="3"/>
        <v>0.62636363636363623</v>
      </c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</row>
    <row r="47" spans="1:36" ht="15" customHeight="1">
      <c r="A47" s="90"/>
      <c r="B47" s="90"/>
      <c r="C47" s="93"/>
      <c r="D47" s="93"/>
      <c r="E47" s="22" t="s">
        <v>36</v>
      </c>
      <c r="F47" s="61">
        <f>IF(E47=0,0,VLOOKUP(E47,TC!B$3:C$40,2,FALSE))</f>
        <v>2.1818181818181817</v>
      </c>
      <c r="G47" s="66">
        <f>14*8.95</f>
        <v>125.29999999999998</v>
      </c>
      <c r="H47" s="27">
        <f>IF(E47=0,"",VLOOKUP(E47,TC!B$3:G$40,6,FALSE))</f>
        <v>31.9953754</v>
      </c>
      <c r="I47" s="27">
        <f t="shared" si="34"/>
        <v>4009.0205376199997</v>
      </c>
      <c r="J47" s="96"/>
      <c r="K47" s="99"/>
      <c r="L47" s="125"/>
      <c r="M47" s="142"/>
      <c r="N47" s="79"/>
      <c r="O47" s="82"/>
      <c r="P47" s="84"/>
      <c r="Q47" s="87"/>
      <c r="R47" s="108"/>
      <c r="S47" s="111"/>
      <c r="T47" s="114"/>
      <c r="U47" s="117"/>
      <c r="V47" s="163"/>
      <c r="W47" s="122"/>
      <c r="X47" s="147"/>
      <c r="Y47" s="10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</row>
    <row r="48" spans="1:36" ht="15.75" customHeight="1" thickBot="1">
      <c r="A48" s="91"/>
      <c r="B48" s="91"/>
      <c r="C48" s="135"/>
      <c r="D48" s="135"/>
      <c r="E48" s="23"/>
      <c r="F48" s="64">
        <f>IF(E48=0,0,VLOOKUP(E48,TC!B$3:C$40,2,FALSE))</f>
        <v>0</v>
      </c>
      <c r="G48" s="69"/>
      <c r="H48" s="12"/>
      <c r="I48" s="12"/>
      <c r="J48" s="136"/>
      <c r="K48" s="138"/>
      <c r="L48" s="140"/>
      <c r="M48" s="143"/>
      <c r="N48" s="159"/>
      <c r="O48" s="150"/>
      <c r="P48" s="152"/>
      <c r="Q48" s="154"/>
      <c r="R48" s="156"/>
      <c r="S48" s="131"/>
      <c r="T48" s="133"/>
      <c r="U48" s="161"/>
      <c r="V48" s="164"/>
      <c r="W48" s="145"/>
      <c r="X48" s="148"/>
      <c r="Y48" s="106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</row>
    <row r="49" spans="1:36" ht="15.75" customHeight="1">
      <c r="A49" s="89" t="s">
        <v>50</v>
      </c>
      <c r="B49" s="89">
        <f>B43+1</f>
        <v>44539</v>
      </c>
      <c r="C49" s="92" t="s">
        <v>8</v>
      </c>
      <c r="D49" s="92"/>
      <c r="E49" s="22" t="s">
        <v>53</v>
      </c>
      <c r="F49" s="60">
        <f>IF(E49=0,0,VLOOKUP(E49,TC!B$3:C$40,2,FALSE))</f>
        <v>1.5</v>
      </c>
      <c r="G49" s="65">
        <f>4*30+1*10</f>
        <v>130</v>
      </c>
      <c r="H49" s="10">
        <f>IF(E49=0,"",VLOOKUP(E49,TC!B$3:G$40,6,FALSE))</f>
        <v>21.152327400000001</v>
      </c>
      <c r="I49" s="10">
        <f t="shared" ref="I49:I50" si="37">IF(H49="","",G49*H49)</f>
        <v>2749.8025620000003</v>
      </c>
      <c r="J49" s="95">
        <v>720</v>
      </c>
      <c r="K49" s="98">
        <f t="shared" ref="K49" si="38">F49*G49+F50*G50+F51*G51</f>
        <v>228.98399999999998</v>
      </c>
      <c r="L49" s="124">
        <v>120</v>
      </c>
      <c r="M49" s="168">
        <v>60</v>
      </c>
      <c r="N49" s="78"/>
      <c r="O49" s="81"/>
      <c r="P49" s="157">
        <v>120</v>
      </c>
      <c r="Q49" s="86"/>
      <c r="R49" s="107"/>
      <c r="S49" s="110"/>
      <c r="T49" s="113"/>
      <c r="U49" s="116"/>
      <c r="V49" s="119"/>
      <c r="W49" s="121"/>
      <c r="X49" s="101">
        <f t="shared" ref="X49" si="39">SUM(K49:W51)</f>
        <v>528.98399999999992</v>
      </c>
      <c r="Y49" s="104">
        <f t="shared" si="3"/>
        <v>0.73469999999999991</v>
      </c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</row>
    <row r="50" spans="1:36" ht="15" customHeight="1">
      <c r="A50" s="90"/>
      <c r="B50" s="90"/>
      <c r="C50" s="93"/>
      <c r="D50" s="93"/>
      <c r="E50" s="22" t="s">
        <v>18</v>
      </c>
      <c r="F50" s="61">
        <f>IF(E50=0,0,VLOOKUP(E50,TC!B$3:C$40,2,FALSE))</f>
        <v>1.44</v>
      </c>
      <c r="G50" s="66">
        <f>2+1.6</f>
        <v>3.6</v>
      </c>
      <c r="H50" s="27">
        <f>IF(E50=0,"",VLOOKUP(E50,TC!B$3:G$40,6,FALSE))</f>
        <v>5.6590650000000009</v>
      </c>
      <c r="I50" s="27">
        <f t="shared" si="37"/>
        <v>20.372634000000005</v>
      </c>
      <c r="J50" s="96"/>
      <c r="K50" s="99"/>
      <c r="L50" s="125"/>
      <c r="M50" s="142"/>
      <c r="N50" s="79"/>
      <c r="O50" s="82"/>
      <c r="P50" s="84"/>
      <c r="Q50" s="87"/>
      <c r="R50" s="108"/>
      <c r="S50" s="111"/>
      <c r="T50" s="114"/>
      <c r="U50" s="117"/>
      <c r="V50" s="119"/>
      <c r="W50" s="122"/>
      <c r="X50" s="102"/>
      <c r="Y50" s="10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</row>
    <row r="51" spans="1:36" ht="15.75" customHeight="1" thickBot="1">
      <c r="A51" s="90"/>
      <c r="B51" s="90"/>
      <c r="C51" s="94"/>
      <c r="D51" s="94"/>
      <c r="E51" s="25" t="s">
        <v>20</v>
      </c>
      <c r="F51" s="62">
        <f>IF(E51=0,0,VLOOKUP(E51,TC!B$3:C$40,2,FALSE))</f>
        <v>0.96</v>
      </c>
      <c r="G51" s="67">
        <f>1*30</f>
        <v>30</v>
      </c>
      <c r="H51" s="27">
        <f>IF(E51=0,"",VLOOKUP(E51,TC!B$3:G$40,6,FALSE))</f>
        <v>9.4010344000000003</v>
      </c>
      <c r="I51" s="27">
        <f t="shared" ref="I51:I52" si="40">IF(H51="","",G51*H51)</f>
        <v>282.03103199999998</v>
      </c>
      <c r="J51" s="97"/>
      <c r="K51" s="100"/>
      <c r="L51" s="126"/>
      <c r="M51" s="169"/>
      <c r="N51" s="80"/>
      <c r="O51" s="83"/>
      <c r="P51" s="85"/>
      <c r="Q51" s="88"/>
      <c r="R51" s="109"/>
      <c r="S51" s="112"/>
      <c r="T51" s="115"/>
      <c r="U51" s="118"/>
      <c r="V51" s="120"/>
      <c r="W51" s="123"/>
      <c r="X51" s="103"/>
      <c r="Y51" s="106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</row>
    <row r="52" spans="1:36" ht="15.75" customHeight="1" thickTop="1">
      <c r="A52" s="90"/>
      <c r="B52" s="90"/>
      <c r="C52" s="134" t="s">
        <v>7</v>
      </c>
      <c r="D52" s="93"/>
      <c r="E52" s="22" t="s">
        <v>20</v>
      </c>
      <c r="F52" s="63">
        <f>IF(E52=0,0,VLOOKUP(E52,TC!B$3:C$40,2,FALSE))</f>
        <v>0.96</v>
      </c>
      <c r="G52" s="66">
        <f>11*30</f>
        <v>330</v>
      </c>
      <c r="H52" s="10">
        <f>IF(E52=0,"",VLOOKUP(E52,TC!B$3:G$40,6,FALSE))</f>
        <v>9.4010344000000003</v>
      </c>
      <c r="I52" s="10">
        <f t="shared" si="40"/>
        <v>3102.3413519999999</v>
      </c>
      <c r="J52" s="95">
        <v>720</v>
      </c>
      <c r="K52" s="137">
        <f t="shared" ref="K52" si="41">F52*G52+F53*G53+F54*G54</f>
        <v>316.8</v>
      </c>
      <c r="L52" s="139"/>
      <c r="M52" s="141">
        <v>60</v>
      </c>
      <c r="N52" s="158"/>
      <c r="O52" s="175"/>
      <c r="P52" s="151"/>
      <c r="Q52" s="153"/>
      <c r="R52" s="155"/>
      <c r="S52" s="130"/>
      <c r="T52" s="132"/>
      <c r="U52" s="160"/>
      <c r="V52" s="162"/>
      <c r="W52" s="144"/>
      <c r="X52" s="173">
        <f t="shared" ref="X52" si="42">SUM(K52:W54)</f>
        <v>376.8</v>
      </c>
      <c r="Y52" s="104">
        <f t="shared" si="3"/>
        <v>0.52333333333333332</v>
      </c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</row>
    <row r="53" spans="1:36" ht="15" customHeight="1">
      <c r="A53" s="90"/>
      <c r="B53" s="90"/>
      <c r="C53" s="93"/>
      <c r="D53" s="93"/>
      <c r="E53" s="22"/>
      <c r="F53" s="61">
        <f>IF(E53=0,0,VLOOKUP(E53,TC!B$3:C$40,2,FALSE))</f>
        <v>0</v>
      </c>
      <c r="G53" s="66"/>
      <c r="H53" s="27"/>
      <c r="I53" s="27"/>
      <c r="J53" s="96"/>
      <c r="K53" s="99"/>
      <c r="L53" s="125"/>
      <c r="M53" s="142"/>
      <c r="N53" s="79"/>
      <c r="O53" s="171"/>
      <c r="P53" s="84"/>
      <c r="Q53" s="87"/>
      <c r="R53" s="108"/>
      <c r="S53" s="111"/>
      <c r="T53" s="114"/>
      <c r="U53" s="117"/>
      <c r="V53" s="163"/>
      <c r="W53" s="122"/>
      <c r="X53" s="102"/>
      <c r="Y53" s="10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</row>
    <row r="54" spans="1:36" ht="15.75" customHeight="1" thickBot="1">
      <c r="A54" s="91"/>
      <c r="B54" s="91"/>
      <c r="C54" s="135"/>
      <c r="D54" s="135"/>
      <c r="E54" s="23"/>
      <c r="F54" s="64">
        <f>IF(E54=0,0,VLOOKUP(E54,TC!B$3:C$40,2,FALSE))</f>
        <v>0</v>
      </c>
      <c r="G54" s="69"/>
      <c r="H54" s="12"/>
      <c r="I54" s="12"/>
      <c r="J54" s="136"/>
      <c r="K54" s="138"/>
      <c r="L54" s="140"/>
      <c r="M54" s="143"/>
      <c r="N54" s="159"/>
      <c r="O54" s="176"/>
      <c r="P54" s="152"/>
      <c r="Q54" s="154"/>
      <c r="R54" s="156"/>
      <c r="S54" s="131"/>
      <c r="T54" s="133"/>
      <c r="U54" s="161"/>
      <c r="V54" s="164"/>
      <c r="W54" s="145"/>
      <c r="X54" s="174"/>
      <c r="Y54" s="106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</row>
    <row r="55" spans="1:36" ht="15.75" customHeight="1">
      <c r="A55" s="89" t="s">
        <v>51</v>
      </c>
      <c r="B55" s="89">
        <f>+B49+1</f>
        <v>44540</v>
      </c>
      <c r="C55" s="92" t="s">
        <v>8</v>
      </c>
      <c r="D55" s="92"/>
      <c r="E55" s="22" t="s">
        <v>18</v>
      </c>
      <c r="F55" s="60">
        <f>IF(E55=0,0,VLOOKUP(E55,TC!B$3:C$40,2,FALSE))</f>
        <v>1.44</v>
      </c>
      <c r="G55" s="65">
        <f>2*35+1*50+1*10</f>
        <v>130</v>
      </c>
      <c r="H55" s="10">
        <f>IF(E55=0,"",VLOOKUP(E55,TC!B$3:G$40,6,FALSE))</f>
        <v>5.6590650000000009</v>
      </c>
      <c r="I55" s="10">
        <f t="shared" ref="I55" si="43">IF(H55="","",G55*H55)</f>
        <v>735.67845000000011</v>
      </c>
      <c r="J55" s="95">
        <v>720</v>
      </c>
      <c r="K55" s="98">
        <f t="shared" ref="K55" si="44">F55*G55+F56*G56+F57*G57</f>
        <v>187.2</v>
      </c>
      <c r="L55" s="124">
        <v>120</v>
      </c>
      <c r="M55" s="168"/>
      <c r="N55" s="78"/>
      <c r="O55" s="170"/>
      <c r="P55" s="157"/>
      <c r="Q55" s="86"/>
      <c r="R55" s="107"/>
      <c r="S55" s="110"/>
      <c r="T55" s="113"/>
      <c r="U55" s="116"/>
      <c r="V55" s="119"/>
      <c r="W55" s="121"/>
      <c r="X55" s="101">
        <f t="shared" ref="X55" si="45">SUM(K55:W57)</f>
        <v>307.2</v>
      </c>
      <c r="Y55" s="104">
        <f t="shared" ref="Y55:Y118" si="46">X55/$J55</f>
        <v>0.42666666666666664</v>
      </c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</row>
    <row r="56" spans="1:36" ht="15" customHeight="1">
      <c r="A56" s="90"/>
      <c r="B56" s="90"/>
      <c r="C56" s="93"/>
      <c r="D56" s="93"/>
      <c r="E56" s="22"/>
      <c r="F56" s="61"/>
      <c r="G56" s="66"/>
      <c r="H56" s="27"/>
      <c r="I56" s="27"/>
      <c r="J56" s="96"/>
      <c r="K56" s="99"/>
      <c r="L56" s="125"/>
      <c r="M56" s="142"/>
      <c r="N56" s="79"/>
      <c r="O56" s="171"/>
      <c r="P56" s="84"/>
      <c r="Q56" s="87"/>
      <c r="R56" s="108"/>
      <c r="S56" s="111"/>
      <c r="T56" s="114"/>
      <c r="U56" s="117"/>
      <c r="V56" s="119"/>
      <c r="W56" s="122"/>
      <c r="X56" s="102"/>
      <c r="Y56" s="10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</row>
    <row r="57" spans="1:36" ht="15.75" customHeight="1" thickBot="1">
      <c r="A57" s="90"/>
      <c r="B57" s="90"/>
      <c r="C57" s="94"/>
      <c r="D57" s="94"/>
      <c r="E57" s="25"/>
      <c r="F57" s="62">
        <f>IF(E57=0,0,VLOOKUP(E57,TC!B$3:C$40,2,FALSE))</f>
        <v>0</v>
      </c>
      <c r="G57" s="67"/>
      <c r="H57" s="28"/>
      <c r="I57" s="28"/>
      <c r="J57" s="97"/>
      <c r="K57" s="100"/>
      <c r="L57" s="126"/>
      <c r="M57" s="169"/>
      <c r="N57" s="80"/>
      <c r="O57" s="172"/>
      <c r="P57" s="85"/>
      <c r="Q57" s="88"/>
      <c r="R57" s="109"/>
      <c r="S57" s="112"/>
      <c r="T57" s="115"/>
      <c r="U57" s="118"/>
      <c r="V57" s="120"/>
      <c r="W57" s="123"/>
      <c r="X57" s="103"/>
      <c r="Y57" s="106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</row>
    <row r="58" spans="1:36" ht="15" customHeight="1" thickTop="1">
      <c r="A58" s="90"/>
      <c r="B58" s="90"/>
      <c r="C58" s="93" t="s">
        <v>7</v>
      </c>
      <c r="D58" s="93"/>
      <c r="E58" s="22" t="s">
        <v>18</v>
      </c>
      <c r="F58" s="61">
        <f>IF(E58=0,0,VLOOKUP(E58,TC!B$3:C$40,2,FALSE))</f>
        <v>1.44</v>
      </c>
      <c r="G58" s="66">
        <f>1*25+5*35</f>
        <v>200</v>
      </c>
      <c r="H58" s="27">
        <f>IF(E58=0,"",VLOOKUP(E58,TC!B$3:G$40,6,FALSE))</f>
        <v>5.6590650000000009</v>
      </c>
      <c r="I58" s="27">
        <f t="shared" ref="I58" si="47">IF(H58="","",G58*H58)</f>
        <v>1131.8130000000001</v>
      </c>
      <c r="J58" s="96">
        <v>720</v>
      </c>
      <c r="K58" s="99">
        <f t="shared" ref="K58" si="48">F58*G58+F59*G59+F60*G60</f>
        <v>288</v>
      </c>
      <c r="L58" s="125"/>
      <c r="M58" s="142"/>
      <c r="N58" s="79"/>
      <c r="O58" s="82"/>
      <c r="P58" s="84"/>
      <c r="Q58" s="87"/>
      <c r="R58" s="108"/>
      <c r="S58" s="111"/>
      <c r="T58" s="132"/>
      <c r="U58" s="117"/>
      <c r="V58" s="162"/>
      <c r="W58" s="122"/>
      <c r="X58" s="102">
        <f t="shared" ref="X58" si="49">SUM(K58:W60)</f>
        <v>288</v>
      </c>
      <c r="Y58" s="104">
        <f t="shared" si="46"/>
        <v>0.4</v>
      </c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</row>
    <row r="59" spans="1:36" ht="15" customHeight="1">
      <c r="A59" s="90"/>
      <c r="B59" s="90"/>
      <c r="C59" s="93"/>
      <c r="D59" s="93"/>
      <c r="E59" s="22"/>
      <c r="F59" s="61">
        <f>IF(E59=0,0,VLOOKUP(E59,TC!B$3:C$40,2,FALSE))</f>
        <v>0</v>
      </c>
      <c r="G59" s="66"/>
      <c r="H59" s="27"/>
      <c r="I59" s="27"/>
      <c r="J59" s="96"/>
      <c r="K59" s="99"/>
      <c r="L59" s="125"/>
      <c r="M59" s="142"/>
      <c r="N59" s="79"/>
      <c r="O59" s="82"/>
      <c r="P59" s="84"/>
      <c r="Q59" s="87"/>
      <c r="R59" s="108"/>
      <c r="S59" s="111"/>
      <c r="T59" s="114"/>
      <c r="U59" s="117"/>
      <c r="V59" s="163"/>
      <c r="W59" s="122"/>
      <c r="X59" s="102"/>
      <c r="Y59" s="10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</row>
    <row r="60" spans="1:36" ht="15.75" customHeight="1" thickBot="1">
      <c r="A60" s="91"/>
      <c r="B60" s="91"/>
      <c r="C60" s="135"/>
      <c r="D60" s="135"/>
      <c r="E60" s="23"/>
      <c r="F60" s="64">
        <f>IF(E60=0,0,VLOOKUP(E60,TC!B$3:C$40,2,FALSE))</f>
        <v>0</v>
      </c>
      <c r="G60" s="69"/>
      <c r="H60" s="12"/>
      <c r="I60" s="12"/>
      <c r="J60" s="136"/>
      <c r="K60" s="138"/>
      <c r="L60" s="140"/>
      <c r="M60" s="143"/>
      <c r="N60" s="159"/>
      <c r="O60" s="150"/>
      <c r="P60" s="152"/>
      <c r="Q60" s="154"/>
      <c r="R60" s="156"/>
      <c r="S60" s="131"/>
      <c r="T60" s="133"/>
      <c r="U60" s="161"/>
      <c r="V60" s="164"/>
      <c r="W60" s="145"/>
      <c r="X60" s="174"/>
      <c r="Y60" s="106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</row>
    <row r="61" spans="1:36" ht="15" customHeight="1">
      <c r="A61" s="89" t="s">
        <v>52</v>
      </c>
      <c r="B61" s="89">
        <f>+B55+1</f>
        <v>44541</v>
      </c>
      <c r="C61" s="92" t="s">
        <v>8</v>
      </c>
      <c r="D61" s="92"/>
      <c r="E61" s="22"/>
      <c r="F61" s="60">
        <f>IF(E61=0,0,VLOOKUP(E61,TC!B$3:C$40,2,FALSE))</f>
        <v>0</v>
      </c>
      <c r="G61" s="65"/>
      <c r="H61" s="10"/>
      <c r="I61" s="10"/>
      <c r="J61" s="95">
        <v>720</v>
      </c>
      <c r="K61" s="98">
        <f t="shared" ref="K61" si="50">F61*G61+F62*G62+F63*G63</f>
        <v>0</v>
      </c>
      <c r="L61" s="124"/>
      <c r="M61" s="168"/>
      <c r="N61" s="78"/>
      <c r="O61" s="81"/>
      <c r="P61" s="157"/>
      <c r="Q61" s="86"/>
      <c r="R61" s="107"/>
      <c r="S61" s="110"/>
      <c r="T61" s="113"/>
      <c r="U61" s="116"/>
      <c r="V61" s="163"/>
      <c r="W61" s="121"/>
      <c r="X61" s="101">
        <f t="shared" ref="X61" si="51">SUM(K61:W63)</f>
        <v>0</v>
      </c>
      <c r="Y61" s="104">
        <f t="shared" si="46"/>
        <v>0</v>
      </c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</row>
    <row r="62" spans="1:36" ht="15" customHeight="1">
      <c r="A62" s="90"/>
      <c r="B62" s="90"/>
      <c r="C62" s="93"/>
      <c r="D62" s="93"/>
      <c r="E62" s="22"/>
      <c r="F62" s="61">
        <f>IF(E62=0,0,VLOOKUP(E62,TC!B$3:C$40,2,FALSE))</f>
        <v>0</v>
      </c>
      <c r="G62" s="66"/>
      <c r="H62" s="27"/>
      <c r="I62" s="27"/>
      <c r="J62" s="96"/>
      <c r="K62" s="99"/>
      <c r="L62" s="125"/>
      <c r="M62" s="142"/>
      <c r="N62" s="79"/>
      <c r="O62" s="82"/>
      <c r="P62" s="84"/>
      <c r="Q62" s="87"/>
      <c r="R62" s="108"/>
      <c r="S62" s="111"/>
      <c r="T62" s="114"/>
      <c r="U62" s="117"/>
      <c r="V62" s="163"/>
      <c r="W62" s="122"/>
      <c r="X62" s="102"/>
      <c r="Y62" s="10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</row>
    <row r="63" spans="1:36" ht="15.75" customHeight="1" thickBot="1">
      <c r="A63" s="90"/>
      <c r="B63" s="90"/>
      <c r="C63" s="94"/>
      <c r="D63" s="94"/>
      <c r="E63" s="25"/>
      <c r="F63" s="62">
        <f>IF(E63=0,0,VLOOKUP(E63,TC!B$3:C$40,2,FALSE))</f>
        <v>0</v>
      </c>
      <c r="G63" s="67"/>
      <c r="H63" s="28"/>
      <c r="I63" s="28"/>
      <c r="J63" s="97"/>
      <c r="K63" s="100"/>
      <c r="L63" s="126"/>
      <c r="M63" s="169"/>
      <c r="N63" s="80"/>
      <c r="O63" s="83"/>
      <c r="P63" s="85"/>
      <c r="Q63" s="88"/>
      <c r="R63" s="109"/>
      <c r="S63" s="112"/>
      <c r="T63" s="115"/>
      <c r="U63" s="118"/>
      <c r="V63" s="164"/>
      <c r="W63" s="123"/>
      <c r="X63" s="103"/>
      <c r="Y63" s="106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</row>
    <row r="64" spans="1:36" ht="15.75" customHeight="1" thickTop="1">
      <c r="A64" s="90"/>
      <c r="B64" s="90"/>
      <c r="C64" s="134" t="s">
        <v>7</v>
      </c>
      <c r="D64" s="183"/>
      <c r="E64" s="22"/>
      <c r="F64" s="63">
        <f>IF(E64=0,0,VLOOKUP(E64,TC!B$3:C$40,2,FALSE))</f>
        <v>0</v>
      </c>
      <c r="G64" s="66"/>
      <c r="H64" s="27"/>
      <c r="I64" s="27"/>
      <c r="J64" s="95">
        <v>720</v>
      </c>
      <c r="K64" s="137">
        <f t="shared" ref="K64" si="52">F64*G64+F65*G65+F66*G66</f>
        <v>0</v>
      </c>
      <c r="L64" s="139"/>
      <c r="M64" s="141"/>
      <c r="N64" s="158"/>
      <c r="O64" s="149"/>
      <c r="P64" s="151"/>
      <c r="Q64" s="153"/>
      <c r="R64" s="155"/>
      <c r="S64" s="130"/>
      <c r="T64" s="132"/>
      <c r="U64" s="160"/>
      <c r="V64" s="162"/>
      <c r="W64" s="144"/>
      <c r="X64" s="173">
        <f t="shared" ref="X64" si="53">SUM(K64:W66)</f>
        <v>0</v>
      </c>
      <c r="Y64" s="104">
        <f t="shared" si="46"/>
        <v>0</v>
      </c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</row>
    <row r="65" spans="1:36" ht="15" customHeight="1">
      <c r="A65" s="90"/>
      <c r="B65" s="90"/>
      <c r="C65" s="93"/>
      <c r="D65" s="93"/>
      <c r="E65" s="22"/>
      <c r="F65" s="61">
        <f>IF(E65=0,0,VLOOKUP(E65,TC!B$3:C$40,2,FALSE))</f>
        <v>0</v>
      </c>
      <c r="G65" s="66"/>
      <c r="H65" s="27"/>
      <c r="I65" s="27"/>
      <c r="J65" s="96"/>
      <c r="K65" s="99"/>
      <c r="L65" s="125"/>
      <c r="M65" s="142"/>
      <c r="N65" s="79"/>
      <c r="O65" s="82"/>
      <c r="P65" s="84"/>
      <c r="Q65" s="87"/>
      <c r="R65" s="108"/>
      <c r="S65" s="111"/>
      <c r="T65" s="114"/>
      <c r="U65" s="117"/>
      <c r="V65" s="163"/>
      <c r="W65" s="122"/>
      <c r="X65" s="102"/>
      <c r="Y65" s="10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</row>
    <row r="66" spans="1:36" ht="15.75" customHeight="1" thickBot="1">
      <c r="A66" s="91"/>
      <c r="B66" s="91"/>
      <c r="C66" s="135"/>
      <c r="D66" s="135"/>
      <c r="E66" s="26"/>
      <c r="F66" s="64">
        <f>IF(E66=0,0,VLOOKUP(E66,TC!B$3:C$40,2,FALSE))</f>
        <v>0</v>
      </c>
      <c r="G66" s="69"/>
      <c r="H66" s="12"/>
      <c r="I66" s="12"/>
      <c r="J66" s="136"/>
      <c r="K66" s="138"/>
      <c r="L66" s="140"/>
      <c r="M66" s="143"/>
      <c r="N66" s="159"/>
      <c r="O66" s="150"/>
      <c r="P66" s="152"/>
      <c r="Q66" s="154"/>
      <c r="R66" s="156"/>
      <c r="S66" s="131"/>
      <c r="T66" s="133"/>
      <c r="U66" s="161"/>
      <c r="V66" s="164"/>
      <c r="W66" s="145"/>
      <c r="X66" s="174"/>
      <c r="Y66" s="106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</row>
    <row r="67" spans="1:36" ht="15" customHeight="1">
      <c r="A67" s="89" t="s">
        <v>47</v>
      </c>
      <c r="B67" s="89">
        <f>+B61+2</f>
        <v>44543</v>
      </c>
      <c r="C67" s="92" t="s">
        <v>8</v>
      </c>
      <c r="D67" s="92"/>
      <c r="E67" s="22"/>
      <c r="F67" s="60">
        <f>IF(E67=0,0,VLOOKUP(E67,TC!B$3:C$40,2,FALSE))</f>
        <v>0</v>
      </c>
      <c r="G67" s="65"/>
      <c r="H67" s="10"/>
      <c r="I67" s="10"/>
      <c r="J67" s="95">
        <v>720</v>
      </c>
      <c r="K67" s="98">
        <f>F67*G67+F68*G68+F69*G69</f>
        <v>0</v>
      </c>
      <c r="L67" s="124"/>
      <c r="M67" s="168"/>
      <c r="N67" s="78"/>
      <c r="O67" s="81"/>
      <c r="P67" s="157"/>
      <c r="Q67" s="86"/>
      <c r="R67" s="107"/>
      <c r="S67" s="110"/>
      <c r="T67" s="113"/>
      <c r="U67" s="116"/>
      <c r="V67" s="119"/>
      <c r="W67" s="121"/>
      <c r="X67" s="101">
        <f t="shared" ref="X67" si="54">SUM(K67:W69)</f>
        <v>0</v>
      </c>
      <c r="Y67" s="104">
        <f t="shared" si="46"/>
        <v>0</v>
      </c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</row>
    <row r="68" spans="1:36" ht="15" customHeight="1">
      <c r="A68" s="90"/>
      <c r="B68" s="90"/>
      <c r="C68" s="93"/>
      <c r="D68" s="93"/>
      <c r="E68" s="22"/>
      <c r="F68" s="61">
        <f>IF(E68=0,0,VLOOKUP(E68,TC!B$3:C$40,2,FALSE))</f>
        <v>0</v>
      </c>
      <c r="G68" s="66"/>
      <c r="H68" s="27"/>
      <c r="I68" s="27"/>
      <c r="J68" s="96"/>
      <c r="K68" s="99"/>
      <c r="L68" s="125"/>
      <c r="M68" s="142"/>
      <c r="N68" s="79"/>
      <c r="O68" s="82"/>
      <c r="P68" s="84"/>
      <c r="Q68" s="87"/>
      <c r="R68" s="108"/>
      <c r="S68" s="111"/>
      <c r="T68" s="114"/>
      <c r="U68" s="117"/>
      <c r="V68" s="119"/>
      <c r="W68" s="122"/>
      <c r="X68" s="102"/>
      <c r="Y68" s="10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</row>
    <row r="69" spans="1:36" ht="15.75" customHeight="1" thickBot="1">
      <c r="A69" s="90"/>
      <c r="B69" s="90"/>
      <c r="C69" s="94"/>
      <c r="D69" s="94"/>
      <c r="E69" s="25"/>
      <c r="F69" s="62">
        <f>IF(E69=0,0,VLOOKUP(E69,TC!B$3:C$40,2,FALSE))</f>
        <v>0</v>
      </c>
      <c r="G69" s="67"/>
      <c r="H69" s="28"/>
      <c r="I69" s="28"/>
      <c r="J69" s="97"/>
      <c r="K69" s="100"/>
      <c r="L69" s="126"/>
      <c r="M69" s="169"/>
      <c r="N69" s="80"/>
      <c r="O69" s="83"/>
      <c r="P69" s="85"/>
      <c r="Q69" s="88"/>
      <c r="R69" s="109"/>
      <c r="S69" s="112"/>
      <c r="T69" s="115"/>
      <c r="U69" s="118"/>
      <c r="V69" s="120"/>
      <c r="W69" s="123"/>
      <c r="X69" s="103"/>
      <c r="Y69" s="106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</row>
    <row r="70" spans="1:36" ht="15.75" customHeight="1" thickTop="1">
      <c r="A70" s="90"/>
      <c r="B70" s="90"/>
      <c r="C70" s="134" t="s">
        <v>7</v>
      </c>
      <c r="D70" s="183"/>
      <c r="E70" s="22"/>
      <c r="F70" s="63">
        <f>IF(E70=0,0,VLOOKUP(E70,TC!B$3:C$40,2,FALSE))</f>
        <v>0</v>
      </c>
      <c r="G70" s="66"/>
      <c r="H70" s="27"/>
      <c r="I70" s="27"/>
      <c r="J70" s="95">
        <v>720</v>
      </c>
      <c r="K70" s="137">
        <f>F70*G70+F71*G71+F72*G72</f>
        <v>0</v>
      </c>
      <c r="L70" s="139"/>
      <c r="M70" s="141"/>
      <c r="N70" s="158"/>
      <c r="O70" s="149"/>
      <c r="P70" s="151"/>
      <c r="Q70" s="153"/>
      <c r="R70" s="155"/>
      <c r="S70" s="130"/>
      <c r="T70" s="132"/>
      <c r="U70" s="160"/>
      <c r="V70" s="162"/>
      <c r="W70" s="144"/>
      <c r="X70" s="173">
        <f t="shared" ref="X70" si="55">SUM(K70:W72)</f>
        <v>0</v>
      </c>
      <c r="Y70" s="104">
        <f t="shared" si="46"/>
        <v>0</v>
      </c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</row>
    <row r="71" spans="1:36" ht="15" customHeight="1">
      <c r="A71" s="90"/>
      <c r="B71" s="90"/>
      <c r="C71" s="93"/>
      <c r="D71" s="93"/>
      <c r="E71" s="22"/>
      <c r="F71" s="61">
        <f>IF(E71=0,0,VLOOKUP(E71,TC!B$3:C$40,2,FALSE))</f>
        <v>0</v>
      </c>
      <c r="G71" s="66"/>
      <c r="H71" s="27"/>
      <c r="I71" s="27"/>
      <c r="J71" s="96"/>
      <c r="K71" s="99"/>
      <c r="L71" s="125"/>
      <c r="M71" s="142"/>
      <c r="N71" s="79"/>
      <c r="O71" s="82"/>
      <c r="P71" s="84"/>
      <c r="Q71" s="87"/>
      <c r="R71" s="108"/>
      <c r="S71" s="111"/>
      <c r="T71" s="114"/>
      <c r="U71" s="117"/>
      <c r="V71" s="163"/>
      <c r="W71" s="122"/>
      <c r="X71" s="102"/>
      <c r="Y71" s="10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</row>
    <row r="72" spans="1:36" ht="15.75" customHeight="1" thickBot="1">
      <c r="A72" s="91"/>
      <c r="B72" s="91"/>
      <c r="C72" s="135"/>
      <c r="D72" s="135"/>
      <c r="E72" s="23"/>
      <c r="F72" s="64">
        <f>IF(E72=0,0,VLOOKUP(E72,TC!B$3:C$40,2,FALSE))</f>
        <v>0</v>
      </c>
      <c r="G72" s="69"/>
      <c r="H72" s="12"/>
      <c r="I72" s="12"/>
      <c r="J72" s="136"/>
      <c r="K72" s="138"/>
      <c r="L72" s="140"/>
      <c r="M72" s="143"/>
      <c r="N72" s="159"/>
      <c r="O72" s="150"/>
      <c r="P72" s="152"/>
      <c r="Q72" s="154"/>
      <c r="R72" s="156"/>
      <c r="S72" s="131"/>
      <c r="T72" s="133"/>
      <c r="U72" s="161"/>
      <c r="V72" s="164"/>
      <c r="W72" s="145"/>
      <c r="X72" s="174"/>
      <c r="Y72" s="106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</row>
    <row r="73" spans="1:36" ht="15" customHeight="1">
      <c r="A73" s="89" t="s">
        <v>68</v>
      </c>
      <c r="B73" s="89">
        <f>+B67+1</f>
        <v>44544</v>
      </c>
      <c r="C73" s="92" t="s">
        <v>8</v>
      </c>
      <c r="D73" s="92"/>
      <c r="E73" s="24"/>
      <c r="F73" s="60">
        <f>IF(E73=0,0,VLOOKUP(E73,TC!B$3:C$40,2,FALSE))</f>
        <v>0</v>
      </c>
      <c r="G73" s="65"/>
      <c r="H73" s="10"/>
      <c r="I73" s="10"/>
      <c r="J73" s="95">
        <v>720</v>
      </c>
      <c r="K73" s="98">
        <f t="shared" ref="K73" si="56">F73*G73+F74*G74+F75*G75</f>
        <v>0</v>
      </c>
      <c r="L73" s="124"/>
      <c r="M73" s="168"/>
      <c r="N73" s="78"/>
      <c r="O73" s="170"/>
      <c r="P73" s="157"/>
      <c r="Q73" s="86"/>
      <c r="R73" s="107"/>
      <c r="S73" s="110"/>
      <c r="T73" s="113"/>
      <c r="U73" s="116"/>
      <c r="V73" s="119">
        <v>70</v>
      </c>
      <c r="W73" s="121"/>
      <c r="X73" s="101">
        <f t="shared" ref="X73" si="57">SUM(K73:W75)</f>
        <v>70</v>
      </c>
      <c r="Y73" s="104">
        <f t="shared" si="46"/>
        <v>9.7222222222222224E-2</v>
      </c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</row>
    <row r="74" spans="1:36" ht="15" customHeight="1">
      <c r="A74" s="90"/>
      <c r="B74" s="90"/>
      <c r="C74" s="93"/>
      <c r="D74" s="93"/>
      <c r="E74" s="22"/>
      <c r="F74" s="61">
        <f>IF(E74=0,0,VLOOKUP(E74,TC!B$3:C$40,2,FALSE))</f>
        <v>0</v>
      </c>
      <c r="G74" s="66"/>
      <c r="H74" s="27"/>
      <c r="I74" s="27"/>
      <c r="J74" s="96"/>
      <c r="K74" s="99"/>
      <c r="L74" s="125"/>
      <c r="M74" s="142"/>
      <c r="N74" s="79"/>
      <c r="O74" s="171"/>
      <c r="P74" s="84"/>
      <c r="Q74" s="87"/>
      <c r="R74" s="108"/>
      <c r="S74" s="111"/>
      <c r="T74" s="114"/>
      <c r="U74" s="117"/>
      <c r="V74" s="119"/>
      <c r="W74" s="122"/>
      <c r="X74" s="102"/>
      <c r="Y74" s="10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</row>
    <row r="75" spans="1:36" ht="15.75" customHeight="1" thickBot="1">
      <c r="A75" s="90"/>
      <c r="B75" s="90"/>
      <c r="C75" s="94"/>
      <c r="D75" s="94"/>
      <c r="E75" s="25"/>
      <c r="F75" s="62">
        <f>IF(E75=0,0,VLOOKUP(E75,TC!B$3:C$40,2,FALSE))</f>
        <v>0</v>
      </c>
      <c r="G75" s="67"/>
      <c r="H75" s="28"/>
      <c r="I75" s="28"/>
      <c r="J75" s="97"/>
      <c r="K75" s="100"/>
      <c r="L75" s="126"/>
      <c r="M75" s="169"/>
      <c r="N75" s="80"/>
      <c r="O75" s="172"/>
      <c r="P75" s="85"/>
      <c r="Q75" s="88"/>
      <c r="R75" s="109"/>
      <c r="S75" s="112"/>
      <c r="T75" s="115"/>
      <c r="U75" s="118"/>
      <c r="V75" s="120"/>
      <c r="W75" s="123"/>
      <c r="X75" s="103"/>
      <c r="Y75" s="106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</row>
    <row r="76" spans="1:36" ht="15.75" customHeight="1" thickTop="1">
      <c r="A76" s="90"/>
      <c r="B76" s="90"/>
      <c r="C76" s="134" t="s">
        <v>7</v>
      </c>
      <c r="D76" s="183"/>
      <c r="E76" s="22"/>
      <c r="F76" s="63">
        <f>IF(E76=0,0,VLOOKUP(E76,TC!B$3:C$40,2,FALSE))</f>
        <v>0</v>
      </c>
      <c r="G76" s="66"/>
      <c r="H76" s="27"/>
      <c r="I76" s="27"/>
      <c r="J76" s="95">
        <v>720</v>
      </c>
      <c r="K76" s="137">
        <f t="shared" ref="K76" si="58">F76*G76+F77*G77+F78*G78</f>
        <v>0</v>
      </c>
      <c r="L76" s="139"/>
      <c r="M76" s="141"/>
      <c r="N76" s="158"/>
      <c r="O76" s="149"/>
      <c r="P76" s="151"/>
      <c r="Q76" s="153"/>
      <c r="R76" s="155"/>
      <c r="S76" s="130"/>
      <c r="T76" s="132"/>
      <c r="U76" s="160"/>
      <c r="V76" s="163"/>
      <c r="W76" s="144"/>
      <c r="X76" s="173">
        <f t="shared" ref="X76" si="59">SUM(K76:W78)</f>
        <v>0</v>
      </c>
      <c r="Y76" s="104">
        <f t="shared" si="46"/>
        <v>0</v>
      </c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</row>
    <row r="77" spans="1:36" ht="15" customHeight="1">
      <c r="A77" s="90"/>
      <c r="B77" s="90"/>
      <c r="C77" s="93"/>
      <c r="D77" s="93"/>
      <c r="E77" s="22"/>
      <c r="F77" s="61">
        <f>IF(E77=0,0,VLOOKUP(E77,TC!B$3:C$40,2,FALSE))</f>
        <v>0</v>
      </c>
      <c r="G77" s="66"/>
      <c r="H77" s="27"/>
      <c r="I77" s="27"/>
      <c r="J77" s="96"/>
      <c r="K77" s="99"/>
      <c r="L77" s="125"/>
      <c r="M77" s="142"/>
      <c r="N77" s="79"/>
      <c r="O77" s="82"/>
      <c r="P77" s="84"/>
      <c r="Q77" s="87"/>
      <c r="R77" s="108"/>
      <c r="S77" s="111"/>
      <c r="T77" s="114"/>
      <c r="U77" s="117"/>
      <c r="V77" s="163"/>
      <c r="W77" s="122"/>
      <c r="X77" s="102"/>
      <c r="Y77" s="10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</row>
    <row r="78" spans="1:36" ht="15.75" customHeight="1" thickBot="1">
      <c r="A78" s="91"/>
      <c r="B78" s="91"/>
      <c r="C78" s="135"/>
      <c r="D78" s="135"/>
      <c r="E78" s="23"/>
      <c r="F78" s="64">
        <f>IF(E78=0,0,VLOOKUP(E78,TC!B$3:C$40,2,FALSE))</f>
        <v>0</v>
      </c>
      <c r="G78" s="69"/>
      <c r="H78" s="12"/>
      <c r="I78" s="12"/>
      <c r="J78" s="136"/>
      <c r="K78" s="138"/>
      <c r="L78" s="140"/>
      <c r="M78" s="143"/>
      <c r="N78" s="159"/>
      <c r="O78" s="150"/>
      <c r="P78" s="152"/>
      <c r="Q78" s="154"/>
      <c r="R78" s="156"/>
      <c r="S78" s="131"/>
      <c r="T78" s="133"/>
      <c r="U78" s="161"/>
      <c r="V78" s="164"/>
      <c r="W78" s="145"/>
      <c r="X78" s="174"/>
      <c r="Y78" s="106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</row>
    <row r="79" spans="1:36" ht="15.75" customHeight="1">
      <c r="A79" s="89" t="s">
        <v>49</v>
      </c>
      <c r="B79" s="89">
        <f>+B73+1</f>
        <v>44545</v>
      </c>
      <c r="C79" s="92" t="s">
        <v>8</v>
      </c>
      <c r="D79" s="92"/>
      <c r="E79" s="24"/>
      <c r="F79" s="60">
        <f>IF(E79=0,0,VLOOKUP(E79,TC!B$3:C$40,2,FALSE))</f>
        <v>0</v>
      </c>
      <c r="G79" s="65"/>
      <c r="H79" s="10"/>
      <c r="I79" s="10"/>
      <c r="J79" s="95">
        <v>720</v>
      </c>
      <c r="K79" s="98">
        <f t="shared" ref="K79" si="60">F79*G79+F80*G80+F81*G81</f>
        <v>0</v>
      </c>
      <c r="L79" s="124"/>
      <c r="M79" s="168"/>
      <c r="N79" s="78"/>
      <c r="O79" s="81"/>
      <c r="P79" s="157"/>
      <c r="Q79" s="86"/>
      <c r="R79" s="107"/>
      <c r="S79" s="110"/>
      <c r="T79" s="113"/>
      <c r="U79" s="116"/>
      <c r="V79" s="119"/>
      <c r="W79" s="121"/>
      <c r="X79" s="101">
        <f t="shared" ref="X79" si="61">SUM(K79:W81)</f>
        <v>0</v>
      </c>
      <c r="Y79" s="104">
        <f t="shared" si="46"/>
        <v>0</v>
      </c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</row>
    <row r="80" spans="1:36" ht="15" customHeight="1">
      <c r="A80" s="90"/>
      <c r="B80" s="90"/>
      <c r="C80" s="93"/>
      <c r="D80" s="93"/>
      <c r="E80" s="22"/>
      <c r="F80" s="61">
        <f>IF(E80=0,0,VLOOKUP(E80,TC!B$3:C$40,2,FALSE))</f>
        <v>0</v>
      </c>
      <c r="G80" s="66"/>
      <c r="H80" s="27"/>
      <c r="I80" s="27"/>
      <c r="J80" s="96"/>
      <c r="K80" s="99"/>
      <c r="L80" s="125"/>
      <c r="M80" s="142"/>
      <c r="N80" s="79"/>
      <c r="O80" s="82"/>
      <c r="P80" s="84"/>
      <c r="Q80" s="87"/>
      <c r="R80" s="108"/>
      <c r="S80" s="111"/>
      <c r="T80" s="114"/>
      <c r="U80" s="117"/>
      <c r="V80" s="119"/>
      <c r="W80" s="122"/>
      <c r="X80" s="102"/>
      <c r="Y80" s="10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</row>
    <row r="81" spans="1:36" ht="15.75" customHeight="1" thickBot="1">
      <c r="A81" s="90"/>
      <c r="B81" s="90"/>
      <c r="C81" s="94"/>
      <c r="D81" s="94"/>
      <c r="E81" s="25"/>
      <c r="F81" s="62">
        <f>IF(E81=0,0,VLOOKUP(E81,TC!B$3:C$40,2,FALSE))</f>
        <v>0</v>
      </c>
      <c r="G81" s="67"/>
      <c r="H81" s="28"/>
      <c r="I81" s="28"/>
      <c r="J81" s="97"/>
      <c r="K81" s="100"/>
      <c r="L81" s="126"/>
      <c r="M81" s="169"/>
      <c r="N81" s="80"/>
      <c r="O81" s="83"/>
      <c r="P81" s="85"/>
      <c r="Q81" s="88"/>
      <c r="R81" s="109"/>
      <c r="S81" s="112"/>
      <c r="T81" s="115"/>
      <c r="U81" s="118"/>
      <c r="V81" s="120"/>
      <c r="W81" s="123"/>
      <c r="X81" s="103"/>
      <c r="Y81" s="106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</row>
    <row r="82" spans="1:36" ht="15.75" customHeight="1" thickTop="1">
      <c r="A82" s="90"/>
      <c r="B82" s="90"/>
      <c r="C82" s="134" t="s">
        <v>7</v>
      </c>
      <c r="D82" s="183"/>
      <c r="E82" s="22"/>
      <c r="F82" s="63">
        <f>IF(E82=0,0,VLOOKUP(E82,TC!B$3:C$40,2,FALSE))</f>
        <v>0</v>
      </c>
      <c r="G82" s="66"/>
      <c r="H82" s="27"/>
      <c r="I82" s="27"/>
      <c r="J82" s="95">
        <v>720</v>
      </c>
      <c r="K82" s="137">
        <f t="shared" ref="K82" si="62">F82*G82+F83*G83+F84*G84</f>
        <v>0</v>
      </c>
      <c r="L82" s="139"/>
      <c r="M82" s="141"/>
      <c r="N82" s="158"/>
      <c r="O82" s="149"/>
      <c r="P82" s="151"/>
      <c r="Q82" s="153"/>
      <c r="R82" s="155"/>
      <c r="S82" s="130"/>
      <c r="T82" s="132"/>
      <c r="U82" s="160"/>
      <c r="V82" s="162"/>
      <c r="W82" s="144"/>
      <c r="X82" s="146">
        <f t="shared" ref="X82" si="63">SUM(K82:W84)</f>
        <v>0</v>
      </c>
      <c r="Y82" s="104">
        <f t="shared" si="46"/>
        <v>0</v>
      </c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</row>
    <row r="83" spans="1:36" ht="15" customHeight="1">
      <c r="A83" s="90"/>
      <c r="B83" s="90"/>
      <c r="C83" s="93"/>
      <c r="D83" s="93"/>
      <c r="E83" s="22"/>
      <c r="F83" s="61">
        <f>IF(E83=0,0,VLOOKUP(E83,TC!B$3:C$40,2,FALSE))</f>
        <v>0</v>
      </c>
      <c r="G83" s="66"/>
      <c r="H83" s="27"/>
      <c r="I83" s="27"/>
      <c r="J83" s="96"/>
      <c r="K83" s="99"/>
      <c r="L83" s="125"/>
      <c r="M83" s="142"/>
      <c r="N83" s="79"/>
      <c r="O83" s="82"/>
      <c r="P83" s="84"/>
      <c r="Q83" s="87"/>
      <c r="R83" s="108"/>
      <c r="S83" s="111"/>
      <c r="T83" s="114"/>
      <c r="U83" s="117"/>
      <c r="V83" s="163"/>
      <c r="W83" s="122"/>
      <c r="X83" s="147"/>
      <c r="Y83" s="10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</row>
    <row r="84" spans="1:36" ht="15.75" customHeight="1" thickBot="1">
      <c r="A84" s="91"/>
      <c r="B84" s="91"/>
      <c r="C84" s="135"/>
      <c r="D84" s="135"/>
      <c r="E84" s="23"/>
      <c r="F84" s="64">
        <f>IF(E84=0,0,VLOOKUP(E84,TC!B$3:C$40,2,FALSE))</f>
        <v>0</v>
      </c>
      <c r="G84" s="69"/>
      <c r="H84" s="12"/>
      <c r="I84" s="12"/>
      <c r="J84" s="136"/>
      <c r="K84" s="138"/>
      <c r="L84" s="140"/>
      <c r="M84" s="143"/>
      <c r="N84" s="159"/>
      <c r="O84" s="150"/>
      <c r="P84" s="152"/>
      <c r="Q84" s="154"/>
      <c r="R84" s="156"/>
      <c r="S84" s="131"/>
      <c r="T84" s="133"/>
      <c r="U84" s="161"/>
      <c r="V84" s="164"/>
      <c r="W84" s="145"/>
      <c r="X84" s="148"/>
      <c r="Y84" s="106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</row>
    <row r="85" spans="1:36" ht="15.75" customHeight="1">
      <c r="A85" s="89" t="s">
        <v>50</v>
      </c>
      <c r="B85" s="89">
        <f>B79+1</f>
        <v>44546</v>
      </c>
      <c r="C85" s="92" t="s">
        <v>8</v>
      </c>
      <c r="D85" s="92"/>
      <c r="E85" s="24"/>
      <c r="F85" s="60">
        <f>IF(E85=0,0,VLOOKUP(E85,TC!B$3:C$40,2,FALSE))</f>
        <v>0</v>
      </c>
      <c r="G85" s="65"/>
      <c r="H85" s="10"/>
      <c r="I85" s="10"/>
      <c r="J85" s="95">
        <v>720</v>
      </c>
      <c r="K85" s="98">
        <f t="shared" ref="K85" si="64">F85*G85+F86*G86+F87*G87</f>
        <v>0</v>
      </c>
      <c r="L85" s="124"/>
      <c r="M85" s="168"/>
      <c r="N85" s="78"/>
      <c r="O85" s="170"/>
      <c r="P85" s="157"/>
      <c r="Q85" s="86"/>
      <c r="R85" s="107"/>
      <c r="S85" s="110"/>
      <c r="T85" s="113"/>
      <c r="U85" s="116"/>
      <c r="V85" s="119"/>
      <c r="W85" s="121"/>
      <c r="X85" s="101">
        <f t="shared" ref="X85" si="65">SUM(K85:W87)</f>
        <v>0</v>
      </c>
      <c r="Y85" s="104">
        <f t="shared" si="46"/>
        <v>0</v>
      </c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</row>
    <row r="86" spans="1:36" ht="15" customHeight="1">
      <c r="A86" s="90"/>
      <c r="B86" s="90"/>
      <c r="C86" s="93"/>
      <c r="D86" s="93"/>
      <c r="E86" s="22"/>
      <c r="F86" s="61">
        <f>IF(E86=0,0,VLOOKUP(E86,TC!B$3:C$40,2,FALSE))</f>
        <v>0</v>
      </c>
      <c r="G86" s="66"/>
      <c r="H86" s="27"/>
      <c r="I86" s="27"/>
      <c r="J86" s="96"/>
      <c r="K86" s="99"/>
      <c r="L86" s="125"/>
      <c r="M86" s="142"/>
      <c r="N86" s="79"/>
      <c r="O86" s="171"/>
      <c r="P86" s="84"/>
      <c r="Q86" s="87"/>
      <c r="R86" s="108"/>
      <c r="S86" s="111"/>
      <c r="T86" s="114"/>
      <c r="U86" s="117"/>
      <c r="V86" s="119"/>
      <c r="W86" s="122"/>
      <c r="X86" s="102"/>
      <c r="Y86" s="10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</row>
    <row r="87" spans="1:36" ht="15.75" customHeight="1" thickBot="1">
      <c r="A87" s="90"/>
      <c r="B87" s="90"/>
      <c r="C87" s="94"/>
      <c r="D87" s="94"/>
      <c r="E87" s="25"/>
      <c r="F87" s="62">
        <f>IF(E87=0,0,VLOOKUP(E87,TC!B$3:C$40,2,FALSE))</f>
        <v>0</v>
      </c>
      <c r="G87" s="67"/>
      <c r="H87" s="28"/>
      <c r="I87" s="28"/>
      <c r="J87" s="97"/>
      <c r="K87" s="100"/>
      <c r="L87" s="126"/>
      <c r="M87" s="169"/>
      <c r="N87" s="80"/>
      <c r="O87" s="172"/>
      <c r="P87" s="85"/>
      <c r="Q87" s="88"/>
      <c r="R87" s="109"/>
      <c r="S87" s="112"/>
      <c r="T87" s="115"/>
      <c r="U87" s="118"/>
      <c r="V87" s="120"/>
      <c r="W87" s="123"/>
      <c r="X87" s="103"/>
      <c r="Y87" s="106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</row>
    <row r="88" spans="1:36" ht="15.75" customHeight="1" thickTop="1">
      <c r="A88" s="90"/>
      <c r="B88" s="90"/>
      <c r="C88" s="134" t="s">
        <v>7</v>
      </c>
      <c r="D88" s="183"/>
      <c r="E88" s="22"/>
      <c r="F88" s="63">
        <f>IF(E88=0,0,VLOOKUP(E88,TC!B$3:C$40,2,FALSE))</f>
        <v>0</v>
      </c>
      <c r="G88" s="66"/>
      <c r="H88" s="27"/>
      <c r="I88" s="27"/>
      <c r="J88" s="95">
        <v>720</v>
      </c>
      <c r="K88" s="137">
        <f t="shared" ref="K88" si="66">F88*G88+F89*G89+F90*G90</f>
        <v>0</v>
      </c>
      <c r="L88" s="139"/>
      <c r="M88" s="141"/>
      <c r="N88" s="158"/>
      <c r="O88" s="175"/>
      <c r="P88" s="151"/>
      <c r="Q88" s="153"/>
      <c r="R88" s="155"/>
      <c r="S88" s="130"/>
      <c r="T88" s="132"/>
      <c r="U88" s="160"/>
      <c r="V88" s="162"/>
      <c r="W88" s="144"/>
      <c r="X88" s="173">
        <f t="shared" ref="X88" si="67">SUM(K88:W90)</f>
        <v>0</v>
      </c>
      <c r="Y88" s="104">
        <f t="shared" si="46"/>
        <v>0</v>
      </c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</row>
    <row r="89" spans="1:36" ht="15" customHeight="1">
      <c r="A89" s="90"/>
      <c r="B89" s="90"/>
      <c r="C89" s="93"/>
      <c r="D89" s="93"/>
      <c r="E89" s="22"/>
      <c r="F89" s="61">
        <f>IF(E89=0,0,VLOOKUP(E89,TC!B$3:C$40,2,FALSE))</f>
        <v>0</v>
      </c>
      <c r="G89" s="66"/>
      <c r="H89" s="27"/>
      <c r="I89" s="27"/>
      <c r="J89" s="96"/>
      <c r="K89" s="99"/>
      <c r="L89" s="125"/>
      <c r="M89" s="142"/>
      <c r="N89" s="79"/>
      <c r="O89" s="171"/>
      <c r="P89" s="84"/>
      <c r="Q89" s="87"/>
      <c r="R89" s="108"/>
      <c r="S89" s="111"/>
      <c r="T89" s="114"/>
      <c r="U89" s="117"/>
      <c r="V89" s="163"/>
      <c r="W89" s="122"/>
      <c r="X89" s="102"/>
      <c r="Y89" s="10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</row>
    <row r="90" spans="1:36" ht="15.75" customHeight="1" thickBot="1">
      <c r="A90" s="91"/>
      <c r="B90" s="91"/>
      <c r="C90" s="135"/>
      <c r="D90" s="135"/>
      <c r="E90" s="23"/>
      <c r="F90" s="64">
        <f>IF(E90=0,0,VLOOKUP(E90,TC!B$3:C$40,2,FALSE))</f>
        <v>0</v>
      </c>
      <c r="G90" s="69"/>
      <c r="H90" s="12"/>
      <c r="I90" s="12"/>
      <c r="J90" s="136"/>
      <c r="K90" s="138"/>
      <c r="L90" s="140"/>
      <c r="M90" s="143"/>
      <c r="N90" s="159"/>
      <c r="O90" s="176"/>
      <c r="P90" s="152"/>
      <c r="Q90" s="154"/>
      <c r="R90" s="156"/>
      <c r="S90" s="131"/>
      <c r="T90" s="133"/>
      <c r="U90" s="161"/>
      <c r="V90" s="164"/>
      <c r="W90" s="145"/>
      <c r="X90" s="174"/>
      <c r="Y90" s="106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</row>
    <row r="91" spans="1:36" ht="15.75" customHeight="1">
      <c r="A91" s="89" t="s">
        <v>51</v>
      </c>
      <c r="B91" s="89">
        <f>B85+2</f>
        <v>44548</v>
      </c>
      <c r="C91" s="92" t="s">
        <v>8</v>
      </c>
      <c r="D91" s="92"/>
      <c r="E91" s="24"/>
      <c r="F91" s="60">
        <f>IF(E91=0,0,VLOOKUP(E91,TC!B$3:C$40,2,FALSE))</f>
        <v>0</v>
      </c>
      <c r="G91" s="65"/>
      <c r="H91" s="10"/>
      <c r="I91" s="10"/>
      <c r="J91" s="95">
        <v>720</v>
      </c>
      <c r="K91" s="98">
        <f t="shared" ref="K91" si="68">F91*G91+F92*G92+F93*G93</f>
        <v>0</v>
      </c>
      <c r="L91" s="124"/>
      <c r="M91" s="168"/>
      <c r="N91" s="78"/>
      <c r="O91" s="170"/>
      <c r="P91" s="157"/>
      <c r="Q91" s="86"/>
      <c r="R91" s="107"/>
      <c r="S91" s="110"/>
      <c r="T91" s="113"/>
      <c r="U91" s="116"/>
      <c r="V91" s="119"/>
      <c r="W91" s="121"/>
      <c r="X91" s="101">
        <f t="shared" ref="X91" si="69">SUM(K91:W93)</f>
        <v>0</v>
      </c>
      <c r="Y91" s="104">
        <f t="shared" si="46"/>
        <v>0</v>
      </c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</row>
    <row r="92" spans="1:36" ht="15" customHeight="1">
      <c r="A92" s="90"/>
      <c r="B92" s="90"/>
      <c r="C92" s="93"/>
      <c r="D92" s="93"/>
      <c r="E92" s="22"/>
      <c r="F92" s="61">
        <f>IF(E92=0,0,VLOOKUP(E92,TC!B$3:C$40,2,FALSE))</f>
        <v>0</v>
      </c>
      <c r="G92" s="66"/>
      <c r="H92" s="27"/>
      <c r="I92" s="27"/>
      <c r="J92" s="96"/>
      <c r="K92" s="99"/>
      <c r="L92" s="125"/>
      <c r="M92" s="142"/>
      <c r="N92" s="79"/>
      <c r="O92" s="171"/>
      <c r="P92" s="84"/>
      <c r="Q92" s="87"/>
      <c r="R92" s="108"/>
      <c r="S92" s="111"/>
      <c r="T92" s="114"/>
      <c r="U92" s="117"/>
      <c r="V92" s="119"/>
      <c r="W92" s="122"/>
      <c r="X92" s="102"/>
      <c r="Y92" s="10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</row>
    <row r="93" spans="1:36" ht="15.75" customHeight="1" thickBot="1">
      <c r="A93" s="90"/>
      <c r="B93" s="90"/>
      <c r="C93" s="94"/>
      <c r="D93" s="94"/>
      <c r="E93" s="25"/>
      <c r="F93" s="62">
        <f>IF(E93=0,0,VLOOKUP(E93,TC!B$3:C$40,2,FALSE))</f>
        <v>0</v>
      </c>
      <c r="G93" s="67"/>
      <c r="H93" s="28"/>
      <c r="I93" s="28"/>
      <c r="J93" s="97"/>
      <c r="K93" s="100"/>
      <c r="L93" s="126"/>
      <c r="M93" s="169"/>
      <c r="N93" s="80"/>
      <c r="O93" s="172"/>
      <c r="P93" s="85"/>
      <c r="Q93" s="88"/>
      <c r="R93" s="109"/>
      <c r="S93" s="112"/>
      <c r="T93" s="115"/>
      <c r="U93" s="118"/>
      <c r="V93" s="120"/>
      <c r="W93" s="123"/>
      <c r="X93" s="103"/>
      <c r="Y93" s="106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</row>
    <row r="94" spans="1:36" ht="15" customHeight="1" thickTop="1">
      <c r="A94" s="90"/>
      <c r="B94" s="90"/>
      <c r="C94" s="134" t="s">
        <v>7</v>
      </c>
      <c r="D94" s="93"/>
      <c r="E94" s="22"/>
      <c r="F94" s="63">
        <f>IF(E94=0,0,VLOOKUP(E94,TC!B$3:C$40,2,FALSE))</f>
        <v>0</v>
      </c>
      <c r="G94" s="68"/>
      <c r="H94" s="5"/>
      <c r="I94" s="5"/>
      <c r="J94" s="96">
        <v>720</v>
      </c>
      <c r="K94" s="99">
        <f t="shared" ref="K94" si="70">F94*G94+F95*G95+F96*G96</f>
        <v>0</v>
      </c>
      <c r="L94" s="125"/>
      <c r="M94" s="142"/>
      <c r="N94" s="79"/>
      <c r="O94" s="82"/>
      <c r="P94" s="84"/>
      <c r="Q94" s="87"/>
      <c r="R94" s="108"/>
      <c r="S94" s="184"/>
      <c r="T94" s="132"/>
      <c r="U94" s="117"/>
      <c r="V94" s="163"/>
      <c r="W94" s="122"/>
      <c r="X94" s="102">
        <f t="shared" ref="X94" si="71">SUM(K94:W96)</f>
        <v>0</v>
      </c>
      <c r="Y94" s="104">
        <f t="shared" si="46"/>
        <v>0</v>
      </c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</row>
    <row r="95" spans="1:36" ht="15" customHeight="1">
      <c r="A95" s="90"/>
      <c r="B95" s="90"/>
      <c r="C95" s="93"/>
      <c r="D95" s="93"/>
      <c r="E95" s="22"/>
      <c r="F95" s="61">
        <f>IF(E95=0,0,VLOOKUP(E95,TC!B$3:C$40,2,FALSE))</f>
        <v>0</v>
      </c>
      <c r="G95" s="66"/>
      <c r="H95" s="27"/>
      <c r="I95" s="27"/>
      <c r="J95" s="96"/>
      <c r="K95" s="99"/>
      <c r="L95" s="125"/>
      <c r="M95" s="142"/>
      <c r="N95" s="79"/>
      <c r="O95" s="82"/>
      <c r="P95" s="84"/>
      <c r="Q95" s="87"/>
      <c r="R95" s="108"/>
      <c r="S95" s="184"/>
      <c r="T95" s="114"/>
      <c r="U95" s="117"/>
      <c r="V95" s="163"/>
      <c r="W95" s="122"/>
      <c r="X95" s="102"/>
      <c r="Y95" s="10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</row>
    <row r="96" spans="1:36" ht="15.75" customHeight="1" thickBot="1">
      <c r="A96" s="91"/>
      <c r="B96" s="91"/>
      <c r="C96" s="135"/>
      <c r="D96" s="135"/>
      <c r="E96" s="23"/>
      <c r="F96" s="64">
        <f>IF(E96=0,0,VLOOKUP(E96,TC!B$3:C$40,2,FALSE))</f>
        <v>0</v>
      </c>
      <c r="G96" s="69"/>
      <c r="H96" s="12"/>
      <c r="I96" s="12"/>
      <c r="J96" s="136"/>
      <c r="K96" s="138"/>
      <c r="L96" s="140"/>
      <c r="M96" s="143"/>
      <c r="N96" s="159"/>
      <c r="O96" s="150"/>
      <c r="P96" s="152"/>
      <c r="Q96" s="154"/>
      <c r="R96" s="156"/>
      <c r="S96" s="185"/>
      <c r="T96" s="133"/>
      <c r="U96" s="161"/>
      <c r="V96" s="164"/>
      <c r="W96" s="145"/>
      <c r="X96" s="174"/>
      <c r="Y96" s="106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</row>
    <row r="97" spans="1:36" ht="15" customHeight="1">
      <c r="A97" s="89" t="s">
        <v>52</v>
      </c>
      <c r="B97" s="89">
        <f>B91+1</f>
        <v>44549</v>
      </c>
      <c r="C97" s="92" t="s">
        <v>8</v>
      </c>
      <c r="D97" s="92"/>
      <c r="E97" s="22"/>
      <c r="F97" s="60">
        <f>IF(E97=0,0,VLOOKUP(E97,TC!B$3:C$40,2,FALSE))</f>
        <v>0</v>
      </c>
      <c r="G97" s="65"/>
      <c r="H97" s="10"/>
      <c r="I97" s="10"/>
      <c r="J97" s="95">
        <v>720</v>
      </c>
      <c r="K97" s="98">
        <f t="shared" ref="K97" si="72">F97*G97+F98*G98+F99*G99</f>
        <v>0</v>
      </c>
      <c r="L97" s="124"/>
      <c r="M97" s="168"/>
      <c r="N97" s="78"/>
      <c r="O97" s="81"/>
      <c r="P97" s="157"/>
      <c r="Q97" s="86"/>
      <c r="R97" s="107"/>
      <c r="S97" s="110"/>
      <c r="T97" s="113"/>
      <c r="U97" s="116"/>
      <c r="V97" s="119"/>
      <c r="W97" s="121"/>
      <c r="X97" s="101">
        <f t="shared" ref="X97" si="73">SUM(K97:W99)</f>
        <v>0</v>
      </c>
      <c r="Y97" s="104">
        <f t="shared" si="46"/>
        <v>0</v>
      </c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</row>
    <row r="98" spans="1:36" ht="15" customHeight="1">
      <c r="A98" s="90"/>
      <c r="B98" s="90"/>
      <c r="C98" s="93"/>
      <c r="D98" s="93"/>
      <c r="E98" s="22"/>
      <c r="F98" s="61">
        <f>IF(E98=0,0,VLOOKUP(E98,TC!B$3:C$40,2,FALSE))</f>
        <v>0</v>
      </c>
      <c r="G98" s="66"/>
      <c r="H98" s="27"/>
      <c r="I98" s="27"/>
      <c r="J98" s="96"/>
      <c r="K98" s="99"/>
      <c r="L98" s="125"/>
      <c r="M98" s="142"/>
      <c r="N98" s="79"/>
      <c r="O98" s="82"/>
      <c r="P98" s="84"/>
      <c r="Q98" s="87"/>
      <c r="R98" s="108"/>
      <c r="S98" s="111"/>
      <c r="T98" s="114"/>
      <c r="U98" s="117"/>
      <c r="V98" s="119"/>
      <c r="W98" s="122"/>
      <c r="X98" s="102"/>
      <c r="Y98" s="10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</row>
    <row r="99" spans="1:36" ht="15.75" customHeight="1" thickBot="1">
      <c r="A99" s="90"/>
      <c r="B99" s="90"/>
      <c r="C99" s="94"/>
      <c r="D99" s="94"/>
      <c r="E99" s="25"/>
      <c r="F99" s="62">
        <f>IF(E99=0,0,VLOOKUP(E99,TC!B$3:C$40,2,FALSE))</f>
        <v>0</v>
      </c>
      <c r="G99" s="67"/>
      <c r="H99" s="28"/>
      <c r="I99" s="28"/>
      <c r="J99" s="97"/>
      <c r="K99" s="100"/>
      <c r="L99" s="126"/>
      <c r="M99" s="169"/>
      <c r="N99" s="80"/>
      <c r="O99" s="83"/>
      <c r="P99" s="85"/>
      <c r="Q99" s="88"/>
      <c r="R99" s="109"/>
      <c r="S99" s="112"/>
      <c r="T99" s="115"/>
      <c r="U99" s="118"/>
      <c r="V99" s="120"/>
      <c r="W99" s="123"/>
      <c r="X99" s="103"/>
      <c r="Y99" s="106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</row>
    <row r="100" spans="1:36" ht="15.75" customHeight="1" thickTop="1">
      <c r="A100" s="90"/>
      <c r="B100" s="90"/>
      <c r="C100" s="134" t="s">
        <v>7</v>
      </c>
      <c r="D100" s="183"/>
      <c r="E100" s="22"/>
      <c r="F100" s="63">
        <f>IF(E100=0,0,VLOOKUP(E100,TC!B$3:C$40,2,FALSE))</f>
        <v>0</v>
      </c>
      <c r="G100" s="66"/>
      <c r="H100" s="27"/>
      <c r="I100" s="27"/>
      <c r="J100" s="95">
        <v>720</v>
      </c>
      <c r="K100" s="137">
        <f t="shared" ref="K100" si="74">F100*G100+F101*G101+F102*G102</f>
        <v>0</v>
      </c>
      <c r="L100" s="139"/>
      <c r="M100" s="141"/>
      <c r="N100" s="158"/>
      <c r="O100" s="149"/>
      <c r="P100" s="151"/>
      <c r="Q100" s="153"/>
      <c r="R100" s="155"/>
      <c r="S100" s="130"/>
      <c r="T100" s="132"/>
      <c r="U100" s="160"/>
      <c r="V100" s="162"/>
      <c r="W100" s="144"/>
      <c r="X100" s="173">
        <f t="shared" ref="X100" si="75">SUM(K100:W102)</f>
        <v>0</v>
      </c>
      <c r="Y100" s="104">
        <f t="shared" si="46"/>
        <v>0</v>
      </c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</row>
    <row r="101" spans="1:36" ht="15" customHeight="1">
      <c r="A101" s="90"/>
      <c r="B101" s="90"/>
      <c r="C101" s="93"/>
      <c r="D101" s="93"/>
      <c r="E101" s="22"/>
      <c r="F101" s="61">
        <f>IF(E101=0,0,VLOOKUP(E101,TC!B$3:C$40,2,FALSE))</f>
        <v>0</v>
      </c>
      <c r="G101" s="66"/>
      <c r="H101" s="27"/>
      <c r="I101" s="27"/>
      <c r="J101" s="96"/>
      <c r="K101" s="99"/>
      <c r="L101" s="125"/>
      <c r="M101" s="142"/>
      <c r="N101" s="79"/>
      <c r="O101" s="82"/>
      <c r="P101" s="84"/>
      <c r="Q101" s="87"/>
      <c r="R101" s="108"/>
      <c r="S101" s="111"/>
      <c r="T101" s="114"/>
      <c r="U101" s="117"/>
      <c r="V101" s="163"/>
      <c r="W101" s="122"/>
      <c r="X101" s="102"/>
      <c r="Y101" s="10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</row>
    <row r="102" spans="1:36" ht="15.75" customHeight="1" thickBot="1">
      <c r="A102" s="91"/>
      <c r="B102" s="91"/>
      <c r="C102" s="135"/>
      <c r="D102" s="135"/>
      <c r="E102" s="26"/>
      <c r="F102" s="64">
        <f>IF(E102=0,0,VLOOKUP(E102,TC!B$3:C$40,2,FALSE))</f>
        <v>0</v>
      </c>
      <c r="G102" s="69"/>
      <c r="H102" s="12"/>
      <c r="I102" s="12"/>
      <c r="J102" s="136"/>
      <c r="K102" s="138"/>
      <c r="L102" s="140"/>
      <c r="M102" s="143"/>
      <c r="N102" s="159"/>
      <c r="O102" s="150"/>
      <c r="P102" s="152"/>
      <c r="Q102" s="154"/>
      <c r="R102" s="156"/>
      <c r="S102" s="131"/>
      <c r="T102" s="133"/>
      <c r="U102" s="161"/>
      <c r="V102" s="164"/>
      <c r="W102" s="145"/>
      <c r="X102" s="174"/>
      <c r="Y102" s="106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</row>
    <row r="103" spans="1:36" ht="15" customHeight="1">
      <c r="A103" s="89" t="s">
        <v>47</v>
      </c>
      <c r="B103" s="89">
        <f>+B97+2</f>
        <v>44551</v>
      </c>
      <c r="C103" s="92" t="s">
        <v>8</v>
      </c>
      <c r="D103" s="92"/>
      <c r="E103" s="22"/>
      <c r="F103" s="60">
        <f>IF(E103=0,0,VLOOKUP(E103,TC!B$3:C$40,2,FALSE))</f>
        <v>0</v>
      </c>
      <c r="G103" s="65"/>
      <c r="H103" s="10"/>
      <c r="I103" s="10"/>
      <c r="J103" s="95">
        <v>720</v>
      </c>
      <c r="K103" s="98">
        <f>F103*G103+F104*G104+F105*G105</f>
        <v>0</v>
      </c>
      <c r="L103" s="124"/>
      <c r="M103" s="168"/>
      <c r="N103" s="78"/>
      <c r="O103" s="81"/>
      <c r="P103" s="157"/>
      <c r="Q103" s="86"/>
      <c r="R103" s="107"/>
      <c r="S103" s="110"/>
      <c r="T103" s="113"/>
      <c r="U103" s="116"/>
      <c r="V103" s="119"/>
      <c r="W103" s="121"/>
      <c r="X103" s="101">
        <f t="shared" ref="X103" si="76">SUM(K103:W105)</f>
        <v>0</v>
      </c>
      <c r="Y103" s="104">
        <f t="shared" si="46"/>
        <v>0</v>
      </c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</row>
    <row r="104" spans="1:36" ht="15" customHeight="1">
      <c r="A104" s="90"/>
      <c r="B104" s="90"/>
      <c r="C104" s="93"/>
      <c r="D104" s="93"/>
      <c r="E104" s="22"/>
      <c r="F104" s="61">
        <f>IF(E104=0,0,VLOOKUP(E104,TC!B$3:C$40,2,FALSE))</f>
        <v>0</v>
      </c>
      <c r="G104" s="66"/>
      <c r="H104" s="27"/>
      <c r="I104" s="27"/>
      <c r="J104" s="96"/>
      <c r="K104" s="99"/>
      <c r="L104" s="125"/>
      <c r="M104" s="142"/>
      <c r="N104" s="79"/>
      <c r="O104" s="82"/>
      <c r="P104" s="84"/>
      <c r="Q104" s="87"/>
      <c r="R104" s="108"/>
      <c r="S104" s="111"/>
      <c r="T104" s="114"/>
      <c r="U104" s="117"/>
      <c r="V104" s="119"/>
      <c r="W104" s="122"/>
      <c r="X104" s="102"/>
      <c r="Y104" s="10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</row>
    <row r="105" spans="1:36" ht="15.75" customHeight="1" thickBot="1">
      <c r="A105" s="90"/>
      <c r="B105" s="90"/>
      <c r="C105" s="94"/>
      <c r="D105" s="94"/>
      <c r="E105" s="25"/>
      <c r="F105" s="62">
        <f>IF(E105=0,0,VLOOKUP(E105,TC!B$3:C$40,2,FALSE))</f>
        <v>0</v>
      </c>
      <c r="G105" s="67"/>
      <c r="H105" s="28"/>
      <c r="I105" s="28"/>
      <c r="J105" s="97"/>
      <c r="K105" s="100"/>
      <c r="L105" s="126"/>
      <c r="M105" s="169"/>
      <c r="N105" s="80"/>
      <c r="O105" s="83"/>
      <c r="P105" s="85"/>
      <c r="Q105" s="88"/>
      <c r="R105" s="109"/>
      <c r="S105" s="112"/>
      <c r="T105" s="115"/>
      <c r="U105" s="118"/>
      <c r="V105" s="120"/>
      <c r="W105" s="123"/>
      <c r="X105" s="103"/>
      <c r="Y105" s="106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</row>
    <row r="106" spans="1:36" ht="15.75" customHeight="1" thickTop="1">
      <c r="A106" s="90"/>
      <c r="B106" s="90"/>
      <c r="C106" s="134" t="s">
        <v>7</v>
      </c>
      <c r="D106" s="183"/>
      <c r="E106" s="22"/>
      <c r="F106" s="63">
        <f>IF(E106=0,0,VLOOKUP(E106,TC!B$3:C$40,2,FALSE))</f>
        <v>0</v>
      </c>
      <c r="G106" s="66"/>
      <c r="H106" s="27"/>
      <c r="I106" s="27"/>
      <c r="J106" s="95">
        <v>720</v>
      </c>
      <c r="K106" s="137">
        <f>F106*G106+F107*G107+F108*G108</f>
        <v>0</v>
      </c>
      <c r="L106" s="139"/>
      <c r="M106" s="141"/>
      <c r="N106" s="158"/>
      <c r="O106" s="149"/>
      <c r="P106" s="151"/>
      <c r="Q106" s="153"/>
      <c r="R106" s="155"/>
      <c r="S106" s="130"/>
      <c r="T106" s="132"/>
      <c r="U106" s="160"/>
      <c r="V106" s="162"/>
      <c r="W106" s="144"/>
      <c r="X106" s="173">
        <f t="shared" ref="X106" si="77">SUM(K106:W108)</f>
        <v>0</v>
      </c>
      <c r="Y106" s="104">
        <f t="shared" si="46"/>
        <v>0</v>
      </c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</row>
    <row r="107" spans="1:36" ht="15" customHeight="1">
      <c r="A107" s="90"/>
      <c r="B107" s="90"/>
      <c r="C107" s="93"/>
      <c r="D107" s="93"/>
      <c r="E107" s="22"/>
      <c r="F107" s="61">
        <f>IF(E107=0,0,VLOOKUP(E107,TC!B$3:C$40,2,FALSE))</f>
        <v>0</v>
      </c>
      <c r="G107" s="66"/>
      <c r="H107" s="27"/>
      <c r="I107" s="27"/>
      <c r="J107" s="96"/>
      <c r="K107" s="99"/>
      <c r="L107" s="125"/>
      <c r="M107" s="142"/>
      <c r="N107" s="79"/>
      <c r="O107" s="82"/>
      <c r="P107" s="84"/>
      <c r="Q107" s="87"/>
      <c r="R107" s="108"/>
      <c r="S107" s="111"/>
      <c r="T107" s="114"/>
      <c r="U107" s="117"/>
      <c r="V107" s="163"/>
      <c r="W107" s="122"/>
      <c r="X107" s="102"/>
      <c r="Y107" s="10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</row>
    <row r="108" spans="1:36" ht="15.75" customHeight="1" thickBot="1">
      <c r="A108" s="91"/>
      <c r="B108" s="91"/>
      <c r="C108" s="135"/>
      <c r="D108" s="135"/>
      <c r="E108" s="23"/>
      <c r="F108" s="64">
        <f>IF(E108=0,0,VLOOKUP(E108,TC!B$3:C$40,2,FALSE))</f>
        <v>0</v>
      </c>
      <c r="G108" s="69"/>
      <c r="H108" s="12"/>
      <c r="I108" s="12"/>
      <c r="J108" s="136"/>
      <c r="K108" s="138"/>
      <c r="L108" s="140"/>
      <c r="M108" s="143"/>
      <c r="N108" s="159"/>
      <c r="O108" s="150"/>
      <c r="P108" s="152"/>
      <c r="Q108" s="154"/>
      <c r="R108" s="156"/>
      <c r="S108" s="131"/>
      <c r="T108" s="133"/>
      <c r="U108" s="161"/>
      <c r="V108" s="164"/>
      <c r="W108" s="145"/>
      <c r="X108" s="174"/>
      <c r="Y108" s="106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</row>
    <row r="109" spans="1:36" ht="15" customHeight="1">
      <c r="A109" s="89" t="s">
        <v>69</v>
      </c>
      <c r="B109" s="89">
        <f>+B103+1</f>
        <v>44552</v>
      </c>
      <c r="C109" s="92" t="s">
        <v>8</v>
      </c>
      <c r="D109" s="92"/>
      <c r="E109" s="24"/>
      <c r="F109" s="60">
        <f>IF(E109=0,0,VLOOKUP(E109,TC!B$3:C$40,2,FALSE))</f>
        <v>0</v>
      </c>
      <c r="G109" s="65"/>
      <c r="H109" s="10"/>
      <c r="I109" s="10"/>
      <c r="J109" s="95">
        <v>720</v>
      </c>
      <c r="K109" s="98">
        <f t="shared" ref="K109" si="78">F109*G109+F110*G110+F111*G111</f>
        <v>0</v>
      </c>
      <c r="L109" s="124"/>
      <c r="M109" s="168"/>
      <c r="N109" s="78"/>
      <c r="O109" s="170"/>
      <c r="P109" s="157"/>
      <c r="Q109" s="86"/>
      <c r="R109" s="107"/>
      <c r="S109" s="110"/>
      <c r="T109" s="113"/>
      <c r="U109" s="116"/>
      <c r="V109" s="119"/>
      <c r="W109" s="121"/>
      <c r="X109" s="101">
        <f t="shared" ref="X109" si="79">SUM(K109:W111)</f>
        <v>0</v>
      </c>
      <c r="Y109" s="104">
        <f t="shared" si="46"/>
        <v>0</v>
      </c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</row>
    <row r="110" spans="1:36" ht="15" customHeight="1">
      <c r="A110" s="90"/>
      <c r="B110" s="90"/>
      <c r="C110" s="93"/>
      <c r="D110" s="93"/>
      <c r="E110" s="22"/>
      <c r="F110" s="61">
        <f>IF(E110=0,0,VLOOKUP(E110,TC!B$3:C$40,2,FALSE))</f>
        <v>0</v>
      </c>
      <c r="G110" s="66"/>
      <c r="H110" s="27"/>
      <c r="I110" s="27"/>
      <c r="J110" s="96"/>
      <c r="K110" s="99"/>
      <c r="L110" s="125"/>
      <c r="M110" s="142"/>
      <c r="N110" s="79"/>
      <c r="O110" s="171"/>
      <c r="P110" s="84"/>
      <c r="Q110" s="87"/>
      <c r="R110" s="108"/>
      <c r="S110" s="111"/>
      <c r="T110" s="114"/>
      <c r="U110" s="117"/>
      <c r="V110" s="119"/>
      <c r="W110" s="122"/>
      <c r="X110" s="102"/>
      <c r="Y110" s="10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</row>
    <row r="111" spans="1:36" ht="15.75" customHeight="1" thickBot="1">
      <c r="A111" s="90"/>
      <c r="B111" s="90"/>
      <c r="C111" s="94"/>
      <c r="D111" s="94"/>
      <c r="E111" s="25"/>
      <c r="F111" s="62">
        <f>IF(E111=0,0,VLOOKUP(E111,TC!B$3:C$40,2,FALSE))</f>
        <v>0</v>
      </c>
      <c r="G111" s="67"/>
      <c r="H111" s="28"/>
      <c r="I111" s="28"/>
      <c r="J111" s="97"/>
      <c r="K111" s="100"/>
      <c r="L111" s="126"/>
      <c r="M111" s="169"/>
      <c r="N111" s="80"/>
      <c r="O111" s="172"/>
      <c r="P111" s="85"/>
      <c r="Q111" s="88"/>
      <c r="R111" s="109"/>
      <c r="S111" s="112"/>
      <c r="T111" s="115"/>
      <c r="U111" s="118"/>
      <c r="V111" s="120"/>
      <c r="W111" s="123"/>
      <c r="X111" s="103"/>
      <c r="Y111" s="106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</row>
    <row r="112" spans="1:36" ht="15.75" customHeight="1" thickTop="1">
      <c r="A112" s="90"/>
      <c r="B112" s="90"/>
      <c r="C112" s="134" t="s">
        <v>7</v>
      </c>
      <c r="D112" s="183"/>
      <c r="E112" s="22"/>
      <c r="F112" s="63">
        <f>IF(E112=0,0,VLOOKUP(E112,TC!B$3:C$40,2,FALSE))</f>
        <v>0</v>
      </c>
      <c r="G112" s="66"/>
      <c r="H112" s="27"/>
      <c r="I112" s="27"/>
      <c r="J112" s="95">
        <v>720</v>
      </c>
      <c r="K112" s="137">
        <f t="shared" ref="K112" si="80">F112*G112+F113*G113+F114*G114</f>
        <v>0</v>
      </c>
      <c r="L112" s="139"/>
      <c r="M112" s="141"/>
      <c r="N112" s="158"/>
      <c r="O112" s="149"/>
      <c r="P112" s="151"/>
      <c r="Q112" s="153"/>
      <c r="R112" s="155"/>
      <c r="S112" s="130"/>
      <c r="T112" s="132"/>
      <c r="U112" s="160"/>
      <c r="V112" s="162"/>
      <c r="W112" s="144"/>
      <c r="X112" s="173">
        <f t="shared" ref="X112" si="81">SUM(K112:W114)</f>
        <v>0</v>
      </c>
      <c r="Y112" s="104">
        <f t="shared" si="46"/>
        <v>0</v>
      </c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</row>
    <row r="113" spans="1:36" ht="15" customHeight="1">
      <c r="A113" s="90"/>
      <c r="B113" s="90"/>
      <c r="C113" s="93"/>
      <c r="D113" s="93"/>
      <c r="E113" s="22"/>
      <c r="F113" s="61">
        <f>IF(E113=0,0,VLOOKUP(E113,TC!B$3:C$40,2,FALSE))</f>
        <v>0</v>
      </c>
      <c r="G113" s="66"/>
      <c r="H113" s="27"/>
      <c r="I113" s="27"/>
      <c r="J113" s="96"/>
      <c r="K113" s="99"/>
      <c r="L113" s="125"/>
      <c r="M113" s="142"/>
      <c r="N113" s="79"/>
      <c r="O113" s="82"/>
      <c r="P113" s="84"/>
      <c r="Q113" s="87"/>
      <c r="R113" s="108"/>
      <c r="S113" s="111"/>
      <c r="T113" s="114"/>
      <c r="U113" s="117"/>
      <c r="V113" s="163"/>
      <c r="W113" s="122"/>
      <c r="X113" s="102"/>
      <c r="Y113" s="10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</row>
    <row r="114" spans="1:36" ht="15.75" customHeight="1" thickBot="1">
      <c r="A114" s="91"/>
      <c r="B114" s="91"/>
      <c r="C114" s="135"/>
      <c r="D114" s="135"/>
      <c r="E114" s="23"/>
      <c r="F114" s="64">
        <f>IF(E114=0,0,VLOOKUP(E114,TC!B$3:C$40,2,FALSE))</f>
        <v>0</v>
      </c>
      <c r="G114" s="69"/>
      <c r="H114" s="12"/>
      <c r="I114" s="12"/>
      <c r="J114" s="136"/>
      <c r="K114" s="138"/>
      <c r="L114" s="140"/>
      <c r="M114" s="143"/>
      <c r="N114" s="159"/>
      <c r="O114" s="150"/>
      <c r="P114" s="152"/>
      <c r="Q114" s="154"/>
      <c r="R114" s="156"/>
      <c r="S114" s="131"/>
      <c r="T114" s="133"/>
      <c r="U114" s="161"/>
      <c r="V114" s="164"/>
      <c r="W114" s="145"/>
      <c r="X114" s="174"/>
      <c r="Y114" s="106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</row>
    <row r="115" spans="1:36" ht="15.75" customHeight="1">
      <c r="A115" s="89" t="s">
        <v>49</v>
      </c>
      <c r="B115" s="89">
        <f>+B109+1</f>
        <v>44553</v>
      </c>
      <c r="C115" s="92" t="s">
        <v>8</v>
      </c>
      <c r="D115" s="92"/>
      <c r="E115" s="24"/>
      <c r="F115" s="60">
        <f>IF(E115=0,0,VLOOKUP(E115,TC!B$3:C$40,2,FALSE))</f>
        <v>0</v>
      </c>
      <c r="G115" s="65"/>
      <c r="H115" s="10"/>
      <c r="I115" s="10"/>
      <c r="J115" s="95">
        <v>720</v>
      </c>
      <c r="K115" s="98">
        <f t="shared" ref="K115" si="82">F115*G115+F116*G116+F117*G117</f>
        <v>0</v>
      </c>
      <c r="L115" s="124"/>
      <c r="M115" s="168"/>
      <c r="N115" s="78"/>
      <c r="O115" s="81"/>
      <c r="P115" s="157"/>
      <c r="Q115" s="86"/>
      <c r="R115" s="107"/>
      <c r="S115" s="110"/>
      <c r="T115" s="113"/>
      <c r="U115" s="116"/>
      <c r="V115" s="119"/>
      <c r="W115" s="121"/>
      <c r="X115" s="101">
        <f t="shared" ref="X115" si="83">SUM(K115:W117)</f>
        <v>0</v>
      </c>
      <c r="Y115" s="104">
        <f t="shared" si="46"/>
        <v>0</v>
      </c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</row>
    <row r="116" spans="1:36" ht="15" customHeight="1">
      <c r="A116" s="90"/>
      <c r="B116" s="90"/>
      <c r="C116" s="93"/>
      <c r="D116" s="93"/>
      <c r="E116" s="22"/>
      <c r="F116" s="61">
        <f>IF(E116=0,0,VLOOKUP(E116,TC!B$3:C$40,2,FALSE))</f>
        <v>0</v>
      </c>
      <c r="G116" s="66"/>
      <c r="H116" s="27"/>
      <c r="I116" s="27"/>
      <c r="J116" s="96"/>
      <c r="K116" s="99"/>
      <c r="L116" s="125"/>
      <c r="M116" s="142"/>
      <c r="N116" s="79"/>
      <c r="O116" s="82"/>
      <c r="P116" s="84"/>
      <c r="Q116" s="87"/>
      <c r="R116" s="108"/>
      <c r="S116" s="111"/>
      <c r="T116" s="114"/>
      <c r="U116" s="117"/>
      <c r="V116" s="119"/>
      <c r="W116" s="122"/>
      <c r="X116" s="102"/>
      <c r="Y116" s="10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</row>
    <row r="117" spans="1:36" ht="15.75" customHeight="1" thickBot="1">
      <c r="A117" s="90"/>
      <c r="B117" s="90"/>
      <c r="C117" s="94"/>
      <c r="D117" s="94"/>
      <c r="E117" s="25"/>
      <c r="F117" s="62">
        <f>IF(E117=0,0,VLOOKUP(E117,TC!B$3:C$40,2,FALSE))</f>
        <v>0</v>
      </c>
      <c r="G117" s="67"/>
      <c r="H117" s="28"/>
      <c r="I117" s="28"/>
      <c r="J117" s="97"/>
      <c r="K117" s="100"/>
      <c r="L117" s="126"/>
      <c r="M117" s="169"/>
      <c r="N117" s="80"/>
      <c r="O117" s="83"/>
      <c r="P117" s="85"/>
      <c r="Q117" s="88"/>
      <c r="R117" s="109"/>
      <c r="S117" s="112"/>
      <c r="T117" s="115"/>
      <c r="U117" s="118"/>
      <c r="V117" s="120"/>
      <c r="W117" s="123"/>
      <c r="X117" s="103"/>
      <c r="Y117" s="106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</row>
    <row r="118" spans="1:36" ht="15.75" customHeight="1" thickTop="1">
      <c r="A118" s="90"/>
      <c r="B118" s="90"/>
      <c r="C118" s="134" t="s">
        <v>7</v>
      </c>
      <c r="D118" s="183"/>
      <c r="E118" s="22"/>
      <c r="F118" s="63">
        <f>IF(E118=0,0,VLOOKUP(E118,TC!B$3:C$40,2,FALSE))</f>
        <v>0</v>
      </c>
      <c r="G118" s="66"/>
      <c r="H118" s="27"/>
      <c r="I118" s="27"/>
      <c r="J118" s="95">
        <v>720</v>
      </c>
      <c r="K118" s="137">
        <f t="shared" ref="K118" si="84">F118*G118+F119*G119+F120*G120</f>
        <v>0</v>
      </c>
      <c r="L118" s="139"/>
      <c r="M118" s="141"/>
      <c r="N118" s="158"/>
      <c r="O118" s="149"/>
      <c r="P118" s="151"/>
      <c r="Q118" s="153"/>
      <c r="R118" s="155"/>
      <c r="S118" s="130"/>
      <c r="T118" s="132"/>
      <c r="U118" s="160"/>
      <c r="V118" s="162"/>
      <c r="W118" s="144"/>
      <c r="X118" s="146">
        <f t="shared" ref="X118" si="85">SUM(K118:W120)</f>
        <v>0</v>
      </c>
      <c r="Y118" s="104">
        <f t="shared" si="46"/>
        <v>0</v>
      </c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</row>
    <row r="119" spans="1:36" ht="15" customHeight="1">
      <c r="A119" s="90"/>
      <c r="B119" s="90"/>
      <c r="C119" s="93"/>
      <c r="D119" s="93"/>
      <c r="E119" s="22"/>
      <c r="F119" s="61">
        <f>IF(E119=0,0,VLOOKUP(E119,TC!B$3:C$40,2,FALSE))</f>
        <v>0</v>
      </c>
      <c r="G119" s="66"/>
      <c r="H119" s="27"/>
      <c r="I119" s="27"/>
      <c r="J119" s="96"/>
      <c r="K119" s="99"/>
      <c r="L119" s="125"/>
      <c r="M119" s="142"/>
      <c r="N119" s="79"/>
      <c r="O119" s="82"/>
      <c r="P119" s="84"/>
      <c r="Q119" s="87"/>
      <c r="R119" s="108"/>
      <c r="S119" s="111"/>
      <c r="T119" s="114"/>
      <c r="U119" s="117"/>
      <c r="V119" s="163"/>
      <c r="W119" s="122"/>
      <c r="X119" s="147"/>
      <c r="Y119" s="10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</row>
    <row r="120" spans="1:36" ht="15.75" customHeight="1" thickBot="1">
      <c r="A120" s="91"/>
      <c r="B120" s="91"/>
      <c r="C120" s="135"/>
      <c r="D120" s="135"/>
      <c r="E120" s="26"/>
      <c r="F120" s="64">
        <f>IF(E120=0,0,VLOOKUP(E120,TC!B$3:C$40,2,FALSE))</f>
        <v>0</v>
      </c>
      <c r="G120" s="69"/>
      <c r="H120" s="12"/>
      <c r="I120" s="12"/>
      <c r="J120" s="136"/>
      <c r="K120" s="138"/>
      <c r="L120" s="140"/>
      <c r="M120" s="143"/>
      <c r="N120" s="159"/>
      <c r="O120" s="150"/>
      <c r="P120" s="152"/>
      <c r="Q120" s="154"/>
      <c r="R120" s="156"/>
      <c r="S120" s="131"/>
      <c r="T120" s="133"/>
      <c r="U120" s="161"/>
      <c r="V120" s="164"/>
      <c r="W120" s="145"/>
      <c r="X120" s="148"/>
      <c r="Y120" s="106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</row>
    <row r="121" spans="1:36" ht="15.75" customHeight="1">
      <c r="A121" s="89" t="s">
        <v>50</v>
      </c>
      <c r="B121" s="89">
        <f>B115+1</f>
        <v>44554</v>
      </c>
      <c r="C121" s="92" t="s">
        <v>8</v>
      </c>
      <c r="D121" s="92"/>
      <c r="E121" s="24"/>
      <c r="F121" s="60">
        <f>IF(E121=0,0,VLOOKUP(E121,TC!B$3:C$40,2,FALSE))</f>
        <v>0</v>
      </c>
      <c r="G121" s="65"/>
      <c r="H121" s="10"/>
      <c r="I121" s="10"/>
      <c r="J121" s="95">
        <v>720</v>
      </c>
      <c r="K121" s="98">
        <f t="shared" ref="K121" si="86">F121*G121+F122*G122+F123*G123</f>
        <v>0</v>
      </c>
      <c r="L121" s="124"/>
      <c r="M121" s="168"/>
      <c r="N121" s="78"/>
      <c r="O121" s="170"/>
      <c r="P121" s="157"/>
      <c r="Q121" s="86"/>
      <c r="R121" s="107"/>
      <c r="S121" s="110"/>
      <c r="T121" s="113"/>
      <c r="U121" s="116"/>
      <c r="V121" s="119"/>
      <c r="W121" s="121"/>
      <c r="X121" s="101">
        <f t="shared" ref="X121" si="87">SUM(K121:W123)</f>
        <v>0</v>
      </c>
      <c r="Y121" s="104">
        <f t="shared" ref="Y121:Y142" si="88">X121/$J121</f>
        <v>0</v>
      </c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</row>
    <row r="122" spans="1:36" ht="15" customHeight="1">
      <c r="A122" s="90"/>
      <c r="B122" s="90"/>
      <c r="C122" s="93"/>
      <c r="D122" s="93"/>
      <c r="E122" s="22"/>
      <c r="F122" s="61">
        <f>IF(E122=0,0,VLOOKUP(E122,TC!B$3:C$40,2,FALSE))</f>
        <v>0</v>
      </c>
      <c r="G122" s="66"/>
      <c r="H122" s="27"/>
      <c r="I122" s="27"/>
      <c r="J122" s="96"/>
      <c r="K122" s="99"/>
      <c r="L122" s="125"/>
      <c r="M122" s="142"/>
      <c r="N122" s="79"/>
      <c r="O122" s="171"/>
      <c r="P122" s="84"/>
      <c r="Q122" s="87"/>
      <c r="R122" s="108"/>
      <c r="S122" s="111"/>
      <c r="T122" s="114"/>
      <c r="U122" s="117"/>
      <c r="V122" s="119"/>
      <c r="W122" s="122"/>
      <c r="X122" s="102"/>
      <c r="Y122" s="10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</row>
    <row r="123" spans="1:36" ht="15.75" customHeight="1" thickBot="1">
      <c r="A123" s="90"/>
      <c r="B123" s="90"/>
      <c r="C123" s="94"/>
      <c r="D123" s="94"/>
      <c r="E123" s="25"/>
      <c r="F123" s="62">
        <f>IF(E123=0,0,VLOOKUP(E123,TC!B$3:C$40,2,FALSE))</f>
        <v>0</v>
      </c>
      <c r="G123" s="67"/>
      <c r="H123" s="28"/>
      <c r="I123" s="28"/>
      <c r="J123" s="97"/>
      <c r="K123" s="100"/>
      <c r="L123" s="126"/>
      <c r="M123" s="169"/>
      <c r="N123" s="80"/>
      <c r="O123" s="172"/>
      <c r="P123" s="85"/>
      <c r="Q123" s="88"/>
      <c r="R123" s="109"/>
      <c r="S123" s="112"/>
      <c r="T123" s="115"/>
      <c r="U123" s="118"/>
      <c r="V123" s="120"/>
      <c r="W123" s="123"/>
      <c r="X123" s="103"/>
      <c r="Y123" s="106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</row>
    <row r="124" spans="1:36" ht="15.75" customHeight="1" thickTop="1">
      <c r="A124" s="90"/>
      <c r="B124" s="90"/>
      <c r="C124" s="134" t="s">
        <v>7</v>
      </c>
      <c r="D124" s="93"/>
      <c r="E124" s="22"/>
      <c r="F124" s="63">
        <f>IF(E124=0,0,VLOOKUP(E124,TC!B$3:C$40,2,FALSE))</f>
        <v>0</v>
      </c>
      <c r="G124" s="66"/>
      <c r="H124" s="27"/>
      <c r="I124" s="27"/>
      <c r="J124" s="95">
        <v>720</v>
      </c>
      <c r="K124" s="137">
        <f t="shared" ref="K124" si="89">F124*G124+F125*G125+F126*G126</f>
        <v>0</v>
      </c>
      <c r="L124" s="139"/>
      <c r="M124" s="141"/>
      <c r="N124" s="158"/>
      <c r="O124" s="175"/>
      <c r="P124" s="151"/>
      <c r="Q124" s="153"/>
      <c r="R124" s="155"/>
      <c r="S124" s="130"/>
      <c r="T124" s="132"/>
      <c r="U124" s="160"/>
      <c r="V124" s="162"/>
      <c r="W124" s="144"/>
      <c r="X124" s="173">
        <f t="shared" ref="X124" si="90">SUM(K124:W126)</f>
        <v>0</v>
      </c>
      <c r="Y124" s="104">
        <f t="shared" si="88"/>
        <v>0</v>
      </c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</row>
    <row r="125" spans="1:36" ht="15" customHeight="1">
      <c r="A125" s="90"/>
      <c r="B125" s="90"/>
      <c r="C125" s="93"/>
      <c r="D125" s="93"/>
      <c r="E125" s="22"/>
      <c r="F125" s="61">
        <f>IF(E125=0,0,VLOOKUP(E125,TC!B$3:C$40,2,FALSE))</f>
        <v>0</v>
      </c>
      <c r="G125" s="66"/>
      <c r="H125" s="27"/>
      <c r="I125" s="27"/>
      <c r="J125" s="96"/>
      <c r="K125" s="99"/>
      <c r="L125" s="125"/>
      <c r="M125" s="142"/>
      <c r="N125" s="79"/>
      <c r="O125" s="171"/>
      <c r="P125" s="84"/>
      <c r="Q125" s="87"/>
      <c r="R125" s="108"/>
      <c r="S125" s="111"/>
      <c r="T125" s="114"/>
      <c r="U125" s="117"/>
      <c r="V125" s="163"/>
      <c r="W125" s="122"/>
      <c r="X125" s="102"/>
      <c r="Y125" s="10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</row>
    <row r="126" spans="1:36" ht="15.75" customHeight="1" thickBot="1">
      <c r="A126" s="91"/>
      <c r="B126" s="91"/>
      <c r="C126" s="135"/>
      <c r="D126" s="135"/>
      <c r="E126" s="23"/>
      <c r="F126" s="64">
        <f>IF(E126=0,0,VLOOKUP(E126,TC!B$3:C$40,2,FALSE))</f>
        <v>0</v>
      </c>
      <c r="G126" s="69"/>
      <c r="H126" s="12"/>
      <c r="I126" s="12"/>
      <c r="J126" s="136"/>
      <c r="K126" s="138"/>
      <c r="L126" s="140"/>
      <c r="M126" s="143"/>
      <c r="N126" s="159"/>
      <c r="O126" s="176"/>
      <c r="P126" s="152"/>
      <c r="Q126" s="154"/>
      <c r="R126" s="156"/>
      <c r="S126" s="131"/>
      <c r="T126" s="133"/>
      <c r="U126" s="161"/>
      <c r="V126" s="164"/>
      <c r="W126" s="145"/>
      <c r="X126" s="174"/>
      <c r="Y126" s="106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</row>
    <row r="127" spans="1:36" ht="15.75" customHeight="1">
      <c r="A127" s="89" t="s">
        <v>51</v>
      </c>
      <c r="B127" s="89">
        <f>B121+2</f>
        <v>44556</v>
      </c>
      <c r="C127" s="92" t="s">
        <v>8</v>
      </c>
      <c r="D127" s="92"/>
      <c r="E127" s="24"/>
      <c r="F127" s="60">
        <f>IF(E127=0,0,VLOOKUP(E127,TC!B$3:C$40,2,FALSE))</f>
        <v>0</v>
      </c>
      <c r="G127" s="65"/>
      <c r="H127" s="10"/>
      <c r="I127" s="10"/>
      <c r="J127" s="95">
        <v>720</v>
      </c>
      <c r="K127" s="98">
        <f t="shared" ref="K127" si="91">F127*G127+F128*G128+F129*G129</f>
        <v>0</v>
      </c>
      <c r="L127" s="124"/>
      <c r="M127" s="168"/>
      <c r="N127" s="78"/>
      <c r="O127" s="170"/>
      <c r="P127" s="157"/>
      <c r="Q127" s="86"/>
      <c r="R127" s="107"/>
      <c r="S127" s="110"/>
      <c r="T127" s="113"/>
      <c r="U127" s="116"/>
      <c r="V127" s="119"/>
      <c r="W127" s="121"/>
      <c r="X127" s="101">
        <f t="shared" ref="X127" si="92">SUM(K127:W129)</f>
        <v>0</v>
      </c>
      <c r="Y127" s="104">
        <f t="shared" si="88"/>
        <v>0</v>
      </c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</row>
    <row r="128" spans="1:36" ht="15" customHeight="1">
      <c r="A128" s="90"/>
      <c r="B128" s="90"/>
      <c r="C128" s="93"/>
      <c r="D128" s="93"/>
      <c r="E128" s="22"/>
      <c r="F128" s="61">
        <f>IF(E128=0,0,VLOOKUP(E128,TC!B$3:C$40,2,FALSE))</f>
        <v>0</v>
      </c>
      <c r="G128" s="66"/>
      <c r="H128" s="27"/>
      <c r="I128" s="27"/>
      <c r="J128" s="96"/>
      <c r="K128" s="99"/>
      <c r="L128" s="125"/>
      <c r="M128" s="142"/>
      <c r="N128" s="79"/>
      <c r="O128" s="171"/>
      <c r="P128" s="84"/>
      <c r="Q128" s="87"/>
      <c r="R128" s="108"/>
      <c r="S128" s="111"/>
      <c r="T128" s="114"/>
      <c r="U128" s="117"/>
      <c r="V128" s="119"/>
      <c r="W128" s="122"/>
      <c r="X128" s="102"/>
      <c r="Y128" s="10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</row>
    <row r="129" spans="1:36" ht="15.75" customHeight="1" thickBot="1">
      <c r="A129" s="90"/>
      <c r="B129" s="90"/>
      <c r="C129" s="94"/>
      <c r="D129" s="94"/>
      <c r="E129" s="25"/>
      <c r="F129" s="62">
        <f>IF(E129=0,0,VLOOKUP(E129,TC!B$3:C$40,2,FALSE))</f>
        <v>0</v>
      </c>
      <c r="G129" s="67"/>
      <c r="H129" s="28"/>
      <c r="I129" s="28"/>
      <c r="J129" s="97"/>
      <c r="K129" s="100"/>
      <c r="L129" s="126"/>
      <c r="M129" s="169"/>
      <c r="N129" s="80"/>
      <c r="O129" s="172"/>
      <c r="P129" s="85"/>
      <c r="Q129" s="88"/>
      <c r="R129" s="109"/>
      <c r="S129" s="112"/>
      <c r="T129" s="115"/>
      <c r="U129" s="118"/>
      <c r="V129" s="120"/>
      <c r="W129" s="123"/>
      <c r="X129" s="103"/>
      <c r="Y129" s="106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</row>
    <row r="130" spans="1:36" ht="15.75" customHeight="1" thickTop="1">
      <c r="A130" s="90"/>
      <c r="B130" s="90"/>
      <c r="C130" s="134" t="s">
        <v>7</v>
      </c>
      <c r="D130" s="93"/>
      <c r="E130" s="22"/>
      <c r="F130" s="63">
        <f>IF(E130=0,0,VLOOKUP(E130,TC!B$3:C$40,2,FALSE))</f>
        <v>0</v>
      </c>
      <c r="G130" s="66"/>
      <c r="H130" s="27"/>
      <c r="I130" s="27"/>
      <c r="J130" s="95">
        <v>720</v>
      </c>
      <c r="K130" s="137">
        <f t="shared" ref="K130" si="93">F130*G130+F131*G131+F132*G132</f>
        <v>0</v>
      </c>
      <c r="L130" s="139"/>
      <c r="M130" s="141"/>
      <c r="N130" s="158"/>
      <c r="O130" s="175"/>
      <c r="P130" s="151"/>
      <c r="Q130" s="153"/>
      <c r="R130" s="155"/>
      <c r="S130" s="130"/>
      <c r="T130" s="132"/>
      <c r="U130" s="160"/>
      <c r="V130" s="162"/>
      <c r="W130" s="144"/>
      <c r="X130" s="173">
        <f t="shared" ref="X130" si="94">SUM(K130:W132)</f>
        <v>0</v>
      </c>
      <c r="Y130" s="104">
        <f t="shared" si="88"/>
        <v>0</v>
      </c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</row>
    <row r="131" spans="1:36" ht="15" customHeight="1">
      <c r="A131" s="90"/>
      <c r="B131" s="90"/>
      <c r="C131" s="93"/>
      <c r="D131" s="93"/>
      <c r="E131" s="22"/>
      <c r="F131" s="61">
        <f>IF(E131=0,0,VLOOKUP(E131,TC!B$3:C$40,2,FALSE))</f>
        <v>0</v>
      </c>
      <c r="G131" s="66"/>
      <c r="H131" s="27"/>
      <c r="I131" s="27"/>
      <c r="J131" s="96"/>
      <c r="K131" s="99"/>
      <c r="L131" s="125"/>
      <c r="M131" s="142"/>
      <c r="N131" s="79"/>
      <c r="O131" s="171"/>
      <c r="P131" s="84"/>
      <c r="Q131" s="87"/>
      <c r="R131" s="108"/>
      <c r="S131" s="111"/>
      <c r="T131" s="114"/>
      <c r="U131" s="117"/>
      <c r="V131" s="163"/>
      <c r="W131" s="122"/>
      <c r="X131" s="102"/>
      <c r="Y131" s="10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</row>
    <row r="132" spans="1:36" ht="15.75" customHeight="1" thickBot="1">
      <c r="A132" s="91"/>
      <c r="B132" s="91"/>
      <c r="C132" s="135"/>
      <c r="D132" s="135"/>
      <c r="E132" s="23"/>
      <c r="F132" s="64">
        <f>IF(E132=0,0,VLOOKUP(E132,TC!B$3:C$40,2,FALSE))</f>
        <v>0</v>
      </c>
      <c r="G132" s="69"/>
      <c r="H132" s="12"/>
      <c r="I132" s="12"/>
      <c r="J132" s="136"/>
      <c r="K132" s="138"/>
      <c r="L132" s="140"/>
      <c r="M132" s="143"/>
      <c r="N132" s="159"/>
      <c r="O132" s="176"/>
      <c r="P132" s="152"/>
      <c r="Q132" s="154"/>
      <c r="R132" s="156"/>
      <c r="S132" s="131"/>
      <c r="T132" s="133"/>
      <c r="U132" s="161"/>
      <c r="V132" s="164"/>
      <c r="W132" s="145"/>
      <c r="X132" s="174"/>
      <c r="Y132" s="106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  <c r="AJ132" s="75"/>
    </row>
    <row r="133" spans="1:36" ht="15.75" customHeight="1">
      <c r="A133" s="89" t="s">
        <v>52</v>
      </c>
      <c r="B133" s="89">
        <f>B127+1</f>
        <v>44557</v>
      </c>
      <c r="C133" s="92" t="s">
        <v>8</v>
      </c>
      <c r="D133" s="92"/>
      <c r="E133" s="24"/>
      <c r="F133" s="60">
        <f>IF(E133=0,0,VLOOKUP(E133,TC!B$3:C$40,2,FALSE))</f>
        <v>0</v>
      </c>
      <c r="G133" s="65"/>
      <c r="H133" s="10"/>
      <c r="I133" s="10"/>
      <c r="J133" s="95">
        <v>720</v>
      </c>
      <c r="K133" s="98">
        <f t="shared" ref="K133" si="95">F133*G133+F134*G134+F135*G135</f>
        <v>0</v>
      </c>
      <c r="L133" s="124"/>
      <c r="M133" s="168"/>
      <c r="N133" s="78"/>
      <c r="O133" s="170"/>
      <c r="P133" s="157"/>
      <c r="Q133" s="86"/>
      <c r="R133" s="107"/>
      <c r="S133" s="110"/>
      <c r="T133" s="113"/>
      <c r="U133" s="116"/>
      <c r="V133" s="119"/>
      <c r="W133" s="121"/>
      <c r="X133" s="101">
        <f t="shared" ref="X133" si="96">SUM(K133:W135)</f>
        <v>0</v>
      </c>
      <c r="Y133" s="104">
        <f t="shared" si="88"/>
        <v>0</v>
      </c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/>
    </row>
    <row r="134" spans="1:36" ht="15" customHeight="1">
      <c r="A134" s="90"/>
      <c r="B134" s="90"/>
      <c r="C134" s="93"/>
      <c r="D134" s="93"/>
      <c r="E134" s="22"/>
      <c r="F134" s="61">
        <f>IF(E134=0,0,VLOOKUP(E134,TC!B$3:C$40,2,FALSE))</f>
        <v>0</v>
      </c>
      <c r="G134" s="66"/>
      <c r="H134" s="27"/>
      <c r="I134" s="27"/>
      <c r="J134" s="96"/>
      <c r="K134" s="99"/>
      <c r="L134" s="125"/>
      <c r="M134" s="142"/>
      <c r="N134" s="79"/>
      <c r="O134" s="171"/>
      <c r="P134" s="84"/>
      <c r="Q134" s="87"/>
      <c r="R134" s="108"/>
      <c r="S134" s="111"/>
      <c r="T134" s="114"/>
      <c r="U134" s="117"/>
      <c r="V134" s="119"/>
      <c r="W134" s="122"/>
      <c r="X134" s="102"/>
      <c r="Y134" s="10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/>
    </row>
    <row r="135" spans="1:36" ht="15.75" customHeight="1" thickBot="1">
      <c r="A135" s="90"/>
      <c r="B135" s="90"/>
      <c r="C135" s="94"/>
      <c r="D135" s="94"/>
      <c r="E135" s="25"/>
      <c r="F135" s="62">
        <f>IF(E135=0,0,VLOOKUP(E135,TC!B$3:C$40,2,FALSE))</f>
        <v>0</v>
      </c>
      <c r="G135" s="67"/>
      <c r="H135" s="28"/>
      <c r="I135" s="28"/>
      <c r="J135" s="97"/>
      <c r="K135" s="100"/>
      <c r="L135" s="126"/>
      <c r="M135" s="169"/>
      <c r="N135" s="80"/>
      <c r="O135" s="172"/>
      <c r="P135" s="85"/>
      <c r="Q135" s="88"/>
      <c r="R135" s="109"/>
      <c r="S135" s="112"/>
      <c r="T135" s="115"/>
      <c r="U135" s="118"/>
      <c r="V135" s="120"/>
      <c r="W135" s="123"/>
      <c r="X135" s="103"/>
      <c r="Y135" s="106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  <c r="AJ135" s="75"/>
    </row>
    <row r="136" spans="1:36" ht="15.75" customHeight="1" thickTop="1">
      <c r="A136" s="90"/>
      <c r="B136" s="90"/>
      <c r="C136" s="134" t="s">
        <v>7</v>
      </c>
      <c r="D136" s="93"/>
      <c r="E136" s="22"/>
      <c r="F136" s="63">
        <f>IF(E136=0,0,VLOOKUP(E136,TC!B$3:C$40,2,FALSE))</f>
        <v>0</v>
      </c>
      <c r="G136" s="66"/>
      <c r="H136" s="27"/>
      <c r="I136" s="27"/>
      <c r="J136" s="95">
        <v>720</v>
      </c>
      <c r="K136" s="137">
        <f t="shared" ref="K136" si="97">F136*G136+F137*G137+F138*G138</f>
        <v>0</v>
      </c>
      <c r="L136" s="139"/>
      <c r="M136" s="141"/>
      <c r="N136" s="158"/>
      <c r="O136" s="175"/>
      <c r="P136" s="151"/>
      <c r="Q136" s="153"/>
      <c r="R136" s="155"/>
      <c r="S136" s="130"/>
      <c r="T136" s="132"/>
      <c r="U136" s="160"/>
      <c r="V136" s="162"/>
      <c r="W136" s="144"/>
      <c r="X136" s="173">
        <f t="shared" ref="X136" si="98">SUM(K136:W138)</f>
        <v>0</v>
      </c>
      <c r="Y136" s="104">
        <f t="shared" si="88"/>
        <v>0</v>
      </c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</row>
    <row r="137" spans="1:36" ht="15" customHeight="1">
      <c r="A137" s="90"/>
      <c r="B137" s="90"/>
      <c r="C137" s="93"/>
      <c r="D137" s="93"/>
      <c r="E137" s="22"/>
      <c r="F137" s="61">
        <f>IF(E137=0,0,VLOOKUP(E137,TC!B$3:C$40,2,FALSE))</f>
        <v>0</v>
      </c>
      <c r="G137" s="66"/>
      <c r="H137" s="27"/>
      <c r="I137" s="27"/>
      <c r="J137" s="96"/>
      <c r="K137" s="99"/>
      <c r="L137" s="125"/>
      <c r="M137" s="142"/>
      <c r="N137" s="79"/>
      <c r="O137" s="171"/>
      <c r="P137" s="84"/>
      <c r="Q137" s="87"/>
      <c r="R137" s="108"/>
      <c r="S137" s="111"/>
      <c r="T137" s="114"/>
      <c r="U137" s="117"/>
      <c r="V137" s="163"/>
      <c r="W137" s="122"/>
      <c r="X137" s="102"/>
      <c r="Y137" s="10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</row>
    <row r="138" spans="1:36" ht="15.75" customHeight="1" thickBot="1">
      <c r="A138" s="91"/>
      <c r="B138" s="91"/>
      <c r="C138" s="135"/>
      <c r="D138" s="135"/>
      <c r="E138" s="23"/>
      <c r="F138" s="64">
        <f>IF(E138=0,0,VLOOKUP(E138,TC!B$3:C$40,2,FALSE))</f>
        <v>0</v>
      </c>
      <c r="G138" s="69"/>
      <c r="H138" s="12"/>
      <c r="I138" s="12"/>
      <c r="J138" s="136"/>
      <c r="K138" s="138"/>
      <c r="L138" s="140"/>
      <c r="M138" s="143"/>
      <c r="N138" s="159"/>
      <c r="O138" s="176"/>
      <c r="P138" s="152"/>
      <c r="Q138" s="154"/>
      <c r="R138" s="156"/>
      <c r="S138" s="131"/>
      <c r="T138" s="133"/>
      <c r="U138" s="161"/>
      <c r="V138" s="164"/>
      <c r="W138" s="145"/>
      <c r="X138" s="174"/>
      <c r="Y138" s="106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  <c r="AJ138" s="75"/>
    </row>
    <row r="139" spans="1:36" ht="15.75" customHeight="1">
      <c r="A139" s="89" t="s">
        <v>47</v>
      </c>
      <c r="B139" s="89">
        <f>B133+1</f>
        <v>44558</v>
      </c>
      <c r="C139" s="92" t="s">
        <v>8</v>
      </c>
      <c r="D139" s="92"/>
      <c r="E139" s="24"/>
      <c r="F139" s="60">
        <f>IF(E139=0,0,VLOOKUP(E139,TC!B$3:C$40,2,FALSE))</f>
        <v>0</v>
      </c>
      <c r="G139" s="65"/>
      <c r="H139" s="10"/>
      <c r="I139" s="10"/>
      <c r="J139" s="95">
        <v>720</v>
      </c>
      <c r="K139" s="98">
        <f t="shared" ref="K139" si="99">F139*G139+F140*G140+F141*G141</f>
        <v>0</v>
      </c>
      <c r="L139" s="124"/>
      <c r="M139" s="168"/>
      <c r="N139" s="78"/>
      <c r="O139" s="170"/>
      <c r="P139" s="157"/>
      <c r="Q139" s="86"/>
      <c r="R139" s="107"/>
      <c r="S139" s="110"/>
      <c r="T139" s="113"/>
      <c r="U139" s="116"/>
      <c r="V139" s="119"/>
      <c r="W139" s="121"/>
      <c r="X139" s="101">
        <f t="shared" ref="X139" si="100">SUM(K139:W141)</f>
        <v>0</v>
      </c>
      <c r="Y139" s="104">
        <f t="shared" si="88"/>
        <v>0</v>
      </c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</row>
    <row r="140" spans="1:36" ht="15" customHeight="1">
      <c r="A140" s="90"/>
      <c r="B140" s="90"/>
      <c r="C140" s="93"/>
      <c r="D140" s="93"/>
      <c r="E140" s="22"/>
      <c r="F140" s="61">
        <f>IF(E140=0,0,VLOOKUP(E140,TC!B$3:C$40,2,FALSE))</f>
        <v>0</v>
      </c>
      <c r="G140" s="66"/>
      <c r="H140" s="27"/>
      <c r="I140" s="27"/>
      <c r="J140" s="96"/>
      <c r="K140" s="99"/>
      <c r="L140" s="125"/>
      <c r="M140" s="142"/>
      <c r="N140" s="79"/>
      <c r="O140" s="171"/>
      <c r="P140" s="84"/>
      <c r="Q140" s="87"/>
      <c r="R140" s="108"/>
      <c r="S140" s="111"/>
      <c r="T140" s="114"/>
      <c r="U140" s="117"/>
      <c r="V140" s="119"/>
      <c r="W140" s="122"/>
      <c r="X140" s="102"/>
      <c r="Y140" s="10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</row>
    <row r="141" spans="1:36" ht="15.75" customHeight="1" thickBot="1">
      <c r="A141" s="90"/>
      <c r="B141" s="90"/>
      <c r="C141" s="94"/>
      <c r="D141" s="94"/>
      <c r="E141" s="25"/>
      <c r="F141" s="62">
        <f>IF(E141=0,0,VLOOKUP(E141,TC!B$3:C$40,2,FALSE))</f>
        <v>0</v>
      </c>
      <c r="G141" s="67"/>
      <c r="H141" s="28"/>
      <c r="I141" s="28"/>
      <c r="J141" s="97"/>
      <c r="K141" s="100"/>
      <c r="L141" s="126"/>
      <c r="M141" s="169"/>
      <c r="N141" s="80"/>
      <c r="O141" s="172"/>
      <c r="P141" s="85"/>
      <c r="Q141" s="88"/>
      <c r="R141" s="109"/>
      <c r="S141" s="112"/>
      <c r="T141" s="115"/>
      <c r="U141" s="118"/>
      <c r="V141" s="120"/>
      <c r="W141" s="123"/>
      <c r="X141" s="103"/>
      <c r="Y141" s="106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</row>
    <row r="142" spans="1:36" ht="15.75" customHeight="1" thickTop="1">
      <c r="A142" s="90"/>
      <c r="B142" s="90"/>
      <c r="C142" s="134" t="s">
        <v>7</v>
      </c>
      <c r="D142" s="93"/>
      <c r="E142" s="22"/>
      <c r="F142" s="63">
        <f>IF(E142=0,0,VLOOKUP(E142,TC!B$3:C$40,2,FALSE))</f>
        <v>0</v>
      </c>
      <c r="G142" s="66"/>
      <c r="H142" s="27"/>
      <c r="I142" s="27"/>
      <c r="J142" s="95">
        <v>720</v>
      </c>
      <c r="K142" s="137">
        <f t="shared" ref="K142" si="101">F142*G142+F143*G143+F144*G144</f>
        <v>0</v>
      </c>
      <c r="L142" s="139"/>
      <c r="M142" s="141"/>
      <c r="N142" s="158"/>
      <c r="O142" s="175"/>
      <c r="P142" s="151"/>
      <c r="Q142" s="153"/>
      <c r="R142" s="155"/>
      <c r="S142" s="130"/>
      <c r="T142" s="132"/>
      <c r="U142" s="160"/>
      <c r="V142" s="162"/>
      <c r="W142" s="144"/>
      <c r="X142" s="173">
        <f t="shared" ref="X142" si="102">SUM(K142:W144)</f>
        <v>0</v>
      </c>
      <c r="Y142" s="104">
        <f t="shared" si="88"/>
        <v>0</v>
      </c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</row>
    <row r="143" spans="1:36" ht="15" customHeight="1">
      <c r="A143" s="90"/>
      <c r="B143" s="90"/>
      <c r="C143" s="93"/>
      <c r="D143" s="93"/>
      <c r="E143" s="22"/>
      <c r="F143" s="61">
        <f>IF(E143=0,0,VLOOKUP(E143,TC!B$3:C$40,2,FALSE))</f>
        <v>0</v>
      </c>
      <c r="G143" s="66"/>
      <c r="H143" s="27"/>
      <c r="I143" s="27"/>
      <c r="J143" s="96"/>
      <c r="K143" s="99"/>
      <c r="L143" s="125"/>
      <c r="M143" s="142"/>
      <c r="N143" s="79"/>
      <c r="O143" s="171"/>
      <c r="P143" s="84"/>
      <c r="Q143" s="87"/>
      <c r="R143" s="108"/>
      <c r="S143" s="111"/>
      <c r="T143" s="114"/>
      <c r="U143" s="117"/>
      <c r="V143" s="163"/>
      <c r="W143" s="122"/>
      <c r="X143" s="102"/>
      <c r="Y143" s="10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</row>
    <row r="144" spans="1:36" ht="15.75" customHeight="1" thickBot="1">
      <c r="A144" s="91"/>
      <c r="B144" s="91"/>
      <c r="C144" s="135"/>
      <c r="D144" s="135"/>
      <c r="E144" s="23"/>
      <c r="F144" s="64">
        <f>IF(E144=0,0,VLOOKUP(E144,TC!B$3:C$40,2,FALSE))</f>
        <v>0</v>
      </c>
      <c r="G144" s="69"/>
      <c r="H144" s="12"/>
      <c r="I144" s="12"/>
      <c r="J144" s="136"/>
      <c r="K144" s="138"/>
      <c r="L144" s="140"/>
      <c r="M144" s="143"/>
      <c r="N144" s="159"/>
      <c r="O144" s="176"/>
      <c r="P144" s="152"/>
      <c r="Q144" s="154"/>
      <c r="R144" s="156"/>
      <c r="S144" s="131"/>
      <c r="T144" s="133"/>
      <c r="U144" s="161"/>
      <c r="V144" s="164"/>
      <c r="W144" s="145"/>
      <c r="X144" s="174"/>
      <c r="Y144" s="106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</row>
    <row r="145" spans="1:36" s="7" customFormat="1" ht="15.75" customHeight="1" thickBot="1">
      <c r="A145" s="31"/>
      <c r="B145" s="31"/>
      <c r="C145" s="17"/>
      <c r="D145" s="17"/>
      <c r="E145" s="32"/>
      <c r="F145" s="1"/>
      <c r="G145" s="8"/>
      <c r="H145" s="18"/>
      <c r="I145" s="18"/>
      <c r="J145" s="19"/>
      <c r="K145" s="19"/>
      <c r="L145" s="19"/>
      <c r="M145" s="19"/>
      <c r="N145" s="19"/>
      <c r="O145" s="19"/>
      <c r="P145" s="20"/>
      <c r="Q145" s="20"/>
      <c r="R145" s="33"/>
      <c r="S145" s="20"/>
      <c r="T145"/>
      <c r="U145" s="20"/>
      <c r="V145"/>
      <c r="W145" s="20"/>
      <c r="X145" s="30"/>
      <c r="Y145" s="35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1:36" ht="40.5" customHeight="1" thickBot="1">
      <c r="H146" s="186">
        <f>SUM(I7:I144)</f>
        <v>42064.378082222</v>
      </c>
      <c r="I146" s="186"/>
      <c r="J146" s="29" t="s">
        <v>57</v>
      </c>
      <c r="Y146" s="34">
        <f>AVERAGE(Y7:Y144)</f>
        <v>0.28891469526179669</v>
      </c>
    </row>
    <row r="148" spans="1:36" ht="22.5">
      <c r="Y148" s="59"/>
    </row>
  </sheetData>
  <mergeCells count="875">
    <mergeCell ref="H146:I146"/>
    <mergeCell ref="T142:T144"/>
    <mergeCell ref="U142:U144"/>
    <mergeCell ref="V142:V144"/>
    <mergeCell ref="W142:W144"/>
    <mergeCell ref="X142:X144"/>
    <mergeCell ref="Y142:Y144"/>
    <mergeCell ref="N142:N144"/>
    <mergeCell ref="O142:O144"/>
    <mergeCell ref="P142:P144"/>
    <mergeCell ref="Q142:Q144"/>
    <mergeCell ref="R142:R144"/>
    <mergeCell ref="S142:S144"/>
    <mergeCell ref="Y136:Y138"/>
    <mergeCell ref="Q136:Q138"/>
    <mergeCell ref="R136:R138"/>
    <mergeCell ref="S136:S138"/>
    <mergeCell ref="T136:T138"/>
    <mergeCell ref="U136:U138"/>
    <mergeCell ref="V136:V138"/>
    <mergeCell ref="C142:C144"/>
    <mergeCell ref="D142:D144"/>
    <mergeCell ref="J142:J144"/>
    <mergeCell ref="K142:K144"/>
    <mergeCell ref="L142:L144"/>
    <mergeCell ref="M142:M144"/>
    <mergeCell ref="W139:W141"/>
    <mergeCell ref="X139:X141"/>
    <mergeCell ref="Y139:Y141"/>
    <mergeCell ref="Q139:Q141"/>
    <mergeCell ref="R139:R141"/>
    <mergeCell ref="S139:S141"/>
    <mergeCell ref="T139:T141"/>
    <mergeCell ref="U139:U141"/>
    <mergeCell ref="V139:V141"/>
    <mergeCell ref="K139:K141"/>
    <mergeCell ref="L139:L141"/>
    <mergeCell ref="O139:O141"/>
    <mergeCell ref="P139:P141"/>
    <mergeCell ref="A139:A144"/>
    <mergeCell ref="B139:B144"/>
    <mergeCell ref="C139:C141"/>
    <mergeCell ref="D139:D141"/>
    <mergeCell ref="J139:J141"/>
    <mergeCell ref="W136:W138"/>
    <mergeCell ref="X136:X138"/>
    <mergeCell ref="M139:M141"/>
    <mergeCell ref="N139:N141"/>
    <mergeCell ref="T130:T132"/>
    <mergeCell ref="U130:U132"/>
    <mergeCell ref="V130:V132"/>
    <mergeCell ref="W130:W132"/>
    <mergeCell ref="X130:X132"/>
    <mergeCell ref="Y130:Y132"/>
    <mergeCell ref="N130:N132"/>
    <mergeCell ref="O130:O132"/>
    <mergeCell ref="C136:C138"/>
    <mergeCell ref="D136:D138"/>
    <mergeCell ref="J136:J138"/>
    <mergeCell ref="K136:K138"/>
    <mergeCell ref="L136:L138"/>
    <mergeCell ref="M136:M138"/>
    <mergeCell ref="N136:N138"/>
    <mergeCell ref="O136:O138"/>
    <mergeCell ref="P136:P138"/>
    <mergeCell ref="T133:T135"/>
    <mergeCell ref="U133:U135"/>
    <mergeCell ref="V133:V135"/>
    <mergeCell ref="W133:W135"/>
    <mergeCell ref="X133:X135"/>
    <mergeCell ref="Y133:Y135"/>
    <mergeCell ref="N133:N135"/>
    <mergeCell ref="R133:R135"/>
    <mergeCell ref="S133:S135"/>
    <mergeCell ref="A133:A138"/>
    <mergeCell ref="B133:B138"/>
    <mergeCell ref="C133:C135"/>
    <mergeCell ref="D133:D135"/>
    <mergeCell ref="J133:J135"/>
    <mergeCell ref="K133:K135"/>
    <mergeCell ref="L133:L135"/>
    <mergeCell ref="M133:M135"/>
    <mergeCell ref="O133:O135"/>
    <mergeCell ref="P133:P135"/>
    <mergeCell ref="Q133:Q135"/>
    <mergeCell ref="A127:A132"/>
    <mergeCell ref="B127:B132"/>
    <mergeCell ref="C127:C129"/>
    <mergeCell ref="D127:D129"/>
    <mergeCell ref="J127:J129"/>
    <mergeCell ref="W124:W126"/>
    <mergeCell ref="X124:X126"/>
    <mergeCell ref="Y124:Y126"/>
    <mergeCell ref="Q124:Q126"/>
    <mergeCell ref="R124:R126"/>
    <mergeCell ref="S124:S126"/>
    <mergeCell ref="T124:T126"/>
    <mergeCell ref="P130:P132"/>
    <mergeCell ref="Q130:Q132"/>
    <mergeCell ref="R130:R132"/>
    <mergeCell ref="S130:S132"/>
    <mergeCell ref="C130:C132"/>
    <mergeCell ref="D130:D132"/>
    <mergeCell ref="J130:J132"/>
    <mergeCell ref="K130:K132"/>
    <mergeCell ref="L130:L132"/>
    <mergeCell ref="M130:M132"/>
    <mergeCell ref="W127:W129"/>
    <mergeCell ref="X127:X129"/>
    <mergeCell ref="T121:T123"/>
    <mergeCell ref="U121:U123"/>
    <mergeCell ref="V121:V123"/>
    <mergeCell ref="W121:W123"/>
    <mergeCell ref="X121:X123"/>
    <mergeCell ref="Y121:Y123"/>
    <mergeCell ref="N121:N123"/>
    <mergeCell ref="O121:O123"/>
    <mergeCell ref="K127:K129"/>
    <mergeCell ref="L127:L129"/>
    <mergeCell ref="M127:M129"/>
    <mergeCell ref="N127:N129"/>
    <mergeCell ref="O127:O129"/>
    <mergeCell ref="P127:P129"/>
    <mergeCell ref="Y127:Y129"/>
    <mergeCell ref="Q127:Q129"/>
    <mergeCell ref="R127:R129"/>
    <mergeCell ref="S127:S129"/>
    <mergeCell ref="T127:T129"/>
    <mergeCell ref="U127:U129"/>
    <mergeCell ref="V127:V129"/>
    <mergeCell ref="U124:U126"/>
    <mergeCell ref="V124:V126"/>
    <mergeCell ref="P121:P123"/>
    <mergeCell ref="Q121:Q123"/>
    <mergeCell ref="R121:R123"/>
    <mergeCell ref="S121:S123"/>
    <mergeCell ref="A121:A126"/>
    <mergeCell ref="B121:B126"/>
    <mergeCell ref="C121:C123"/>
    <mergeCell ref="D121:D123"/>
    <mergeCell ref="J121:J123"/>
    <mergeCell ref="K121:K123"/>
    <mergeCell ref="L121:L123"/>
    <mergeCell ref="M121:M123"/>
    <mergeCell ref="C124:C126"/>
    <mergeCell ref="D124:D126"/>
    <mergeCell ref="J124:J126"/>
    <mergeCell ref="K124:K126"/>
    <mergeCell ref="L124:L126"/>
    <mergeCell ref="M124:M126"/>
    <mergeCell ref="N124:N126"/>
    <mergeCell ref="O124:O126"/>
    <mergeCell ref="P124:P126"/>
    <mergeCell ref="S118:S120"/>
    <mergeCell ref="W115:W117"/>
    <mergeCell ref="X115:X117"/>
    <mergeCell ref="Y115:Y117"/>
    <mergeCell ref="Q115:Q117"/>
    <mergeCell ref="R115:R117"/>
    <mergeCell ref="S115:S117"/>
    <mergeCell ref="T115:T117"/>
    <mergeCell ref="T118:T120"/>
    <mergeCell ref="U118:U120"/>
    <mergeCell ref="V118:V120"/>
    <mergeCell ref="W118:W120"/>
    <mergeCell ref="X118:X120"/>
    <mergeCell ref="Y118:Y120"/>
    <mergeCell ref="U115:U117"/>
    <mergeCell ref="V115:V117"/>
    <mergeCell ref="K115:K117"/>
    <mergeCell ref="L115:L117"/>
    <mergeCell ref="M115:M117"/>
    <mergeCell ref="N115:N117"/>
    <mergeCell ref="O115:O117"/>
    <mergeCell ref="P115:P117"/>
    <mergeCell ref="A115:A120"/>
    <mergeCell ref="B115:B120"/>
    <mergeCell ref="C115:C117"/>
    <mergeCell ref="D115:D117"/>
    <mergeCell ref="J115:J117"/>
    <mergeCell ref="C118:C120"/>
    <mergeCell ref="D118:D120"/>
    <mergeCell ref="J118:J120"/>
    <mergeCell ref="K118:K120"/>
    <mergeCell ref="L118:L120"/>
    <mergeCell ref="M118:M120"/>
    <mergeCell ref="N118:N120"/>
    <mergeCell ref="O118:O120"/>
    <mergeCell ref="P118:P120"/>
    <mergeCell ref="Q118:Q120"/>
    <mergeCell ref="R118:R120"/>
    <mergeCell ref="L106:L108"/>
    <mergeCell ref="M106:M108"/>
    <mergeCell ref="U112:U114"/>
    <mergeCell ref="V112:V114"/>
    <mergeCell ref="C112:C114"/>
    <mergeCell ref="D112:D114"/>
    <mergeCell ref="J112:J114"/>
    <mergeCell ref="K112:K114"/>
    <mergeCell ref="L112:L114"/>
    <mergeCell ref="M112:M114"/>
    <mergeCell ref="N112:N114"/>
    <mergeCell ref="O112:O114"/>
    <mergeCell ref="P112:P114"/>
    <mergeCell ref="Q112:Q114"/>
    <mergeCell ref="R112:R114"/>
    <mergeCell ref="A103:A108"/>
    <mergeCell ref="B103:B108"/>
    <mergeCell ref="C103:C105"/>
    <mergeCell ref="D103:D105"/>
    <mergeCell ref="J103:J105"/>
    <mergeCell ref="C106:C108"/>
    <mergeCell ref="D106:D108"/>
    <mergeCell ref="J106:J108"/>
    <mergeCell ref="K106:K108"/>
    <mergeCell ref="X109:X111"/>
    <mergeCell ref="Y109:Y111"/>
    <mergeCell ref="A109:A114"/>
    <mergeCell ref="B109:B114"/>
    <mergeCell ref="C109:C111"/>
    <mergeCell ref="D109:D111"/>
    <mergeCell ref="J109:J111"/>
    <mergeCell ref="K109:K111"/>
    <mergeCell ref="L109:L111"/>
    <mergeCell ref="M109:M111"/>
    <mergeCell ref="S112:S114"/>
    <mergeCell ref="T112:T114"/>
    <mergeCell ref="T109:T111"/>
    <mergeCell ref="W112:W114"/>
    <mergeCell ref="X112:X114"/>
    <mergeCell ref="Y112:Y114"/>
    <mergeCell ref="N109:N111"/>
    <mergeCell ref="O109:O111"/>
    <mergeCell ref="P109:P111"/>
    <mergeCell ref="Q109:Q111"/>
    <mergeCell ref="R109:R111"/>
    <mergeCell ref="S109:S111"/>
    <mergeCell ref="U106:U108"/>
    <mergeCell ref="V106:V108"/>
    <mergeCell ref="W106:W108"/>
    <mergeCell ref="U109:U111"/>
    <mergeCell ref="V109:V111"/>
    <mergeCell ref="W109:W111"/>
    <mergeCell ref="T106:T108"/>
    <mergeCell ref="X100:X102"/>
    <mergeCell ref="Y100:Y102"/>
    <mergeCell ref="X106:X108"/>
    <mergeCell ref="Y106:Y108"/>
    <mergeCell ref="N106:N108"/>
    <mergeCell ref="O106:O108"/>
    <mergeCell ref="P106:P108"/>
    <mergeCell ref="Q106:Q108"/>
    <mergeCell ref="R106:R108"/>
    <mergeCell ref="S106:S108"/>
    <mergeCell ref="W103:W105"/>
    <mergeCell ref="X103:X105"/>
    <mergeCell ref="Y103:Y105"/>
    <mergeCell ref="Q103:Q105"/>
    <mergeCell ref="R103:R105"/>
    <mergeCell ref="V97:V99"/>
    <mergeCell ref="W97:W99"/>
    <mergeCell ref="S103:S105"/>
    <mergeCell ref="T103:T105"/>
    <mergeCell ref="U103:U105"/>
    <mergeCell ref="V103:V105"/>
    <mergeCell ref="K103:K105"/>
    <mergeCell ref="L103:L105"/>
    <mergeCell ref="M103:M105"/>
    <mergeCell ref="N103:N105"/>
    <mergeCell ref="O103:O105"/>
    <mergeCell ref="P103:P105"/>
    <mergeCell ref="W100:W102"/>
    <mergeCell ref="J100:J102"/>
    <mergeCell ref="K100:K102"/>
    <mergeCell ref="L100:L102"/>
    <mergeCell ref="M100:M102"/>
    <mergeCell ref="N100:N102"/>
    <mergeCell ref="O100:O102"/>
    <mergeCell ref="P100:P102"/>
    <mergeCell ref="T97:T99"/>
    <mergeCell ref="U97:U99"/>
    <mergeCell ref="X97:X99"/>
    <mergeCell ref="Y97:Y99"/>
    <mergeCell ref="N97:N99"/>
    <mergeCell ref="O97:O99"/>
    <mergeCell ref="P97:P99"/>
    <mergeCell ref="Q97:Q99"/>
    <mergeCell ref="R97:R99"/>
    <mergeCell ref="S97:S99"/>
    <mergeCell ref="A97:A102"/>
    <mergeCell ref="B97:B102"/>
    <mergeCell ref="C97:C99"/>
    <mergeCell ref="D97:D99"/>
    <mergeCell ref="J97:J99"/>
    <mergeCell ref="K97:K99"/>
    <mergeCell ref="L97:L99"/>
    <mergeCell ref="M97:M99"/>
    <mergeCell ref="Q100:Q102"/>
    <mergeCell ref="R100:R102"/>
    <mergeCell ref="S100:S102"/>
    <mergeCell ref="T100:T102"/>
    <mergeCell ref="U100:U102"/>
    <mergeCell ref="V100:V102"/>
    <mergeCell ref="C100:C102"/>
    <mergeCell ref="D100:D102"/>
    <mergeCell ref="C94:C96"/>
    <mergeCell ref="D94:D96"/>
    <mergeCell ref="J94:J96"/>
    <mergeCell ref="K94:K96"/>
    <mergeCell ref="L94:L96"/>
    <mergeCell ref="M94:M96"/>
    <mergeCell ref="W91:W93"/>
    <mergeCell ref="X91:X93"/>
    <mergeCell ref="Y91:Y93"/>
    <mergeCell ref="T94:T96"/>
    <mergeCell ref="U94:U96"/>
    <mergeCell ref="O91:O93"/>
    <mergeCell ref="P91:P93"/>
    <mergeCell ref="V94:V96"/>
    <mergeCell ref="W94:W96"/>
    <mergeCell ref="X94:X96"/>
    <mergeCell ref="Y94:Y96"/>
    <mergeCell ref="N94:N96"/>
    <mergeCell ref="O94:O96"/>
    <mergeCell ref="P94:P96"/>
    <mergeCell ref="Q94:Q96"/>
    <mergeCell ref="R94:R96"/>
    <mergeCell ref="S94:S96"/>
    <mergeCell ref="A91:A96"/>
    <mergeCell ref="B91:B96"/>
    <mergeCell ref="C91:C93"/>
    <mergeCell ref="D91:D93"/>
    <mergeCell ref="J91:J93"/>
    <mergeCell ref="W88:W90"/>
    <mergeCell ref="X88:X90"/>
    <mergeCell ref="Y88:Y90"/>
    <mergeCell ref="Q88:Q90"/>
    <mergeCell ref="R88:R90"/>
    <mergeCell ref="S88:S90"/>
    <mergeCell ref="T88:T90"/>
    <mergeCell ref="U88:U90"/>
    <mergeCell ref="V88:V90"/>
    <mergeCell ref="Q91:Q93"/>
    <mergeCell ref="R91:R93"/>
    <mergeCell ref="S91:S93"/>
    <mergeCell ref="T91:T93"/>
    <mergeCell ref="U91:U93"/>
    <mergeCell ref="V91:V93"/>
    <mergeCell ref="K91:K93"/>
    <mergeCell ref="L91:L93"/>
    <mergeCell ref="M91:M93"/>
    <mergeCell ref="N91:N93"/>
    <mergeCell ref="T82:T84"/>
    <mergeCell ref="U82:U84"/>
    <mergeCell ref="V82:V84"/>
    <mergeCell ref="W82:W84"/>
    <mergeCell ref="X82:X84"/>
    <mergeCell ref="Y82:Y84"/>
    <mergeCell ref="N82:N84"/>
    <mergeCell ref="O82:O84"/>
    <mergeCell ref="C88:C90"/>
    <mergeCell ref="D88:D90"/>
    <mergeCell ref="J88:J90"/>
    <mergeCell ref="K88:K90"/>
    <mergeCell ref="L88:L90"/>
    <mergeCell ref="M88:M90"/>
    <mergeCell ref="N88:N90"/>
    <mergeCell ref="O88:O90"/>
    <mergeCell ref="P88:P90"/>
    <mergeCell ref="T85:T87"/>
    <mergeCell ref="U85:U87"/>
    <mergeCell ref="V85:V87"/>
    <mergeCell ref="W85:W87"/>
    <mergeCell ref="X85:X87"/>
    <mergeCell ref="Y85:Y87"/>
    <mergeCell ref="N85:N87"/>
    <mergeCell ref="O79:O81"/>
    <mergeCell ref="P79:P81"/>
    <mergeCell ref="Q79:Q81"/>
    <mergeCell ref="R79:R81"/>
    <mergeCell ref="R85:R87"/>
    <mergeCell ref="S85:S87"/>
    <mergeCell ref="A85:A90"/>
    <mergeCell ref="B85:B90"/>
    <mergeCell ref="C85:C87"/>
    <mergeCell ref="D85:D87"/>
    <mergeCell ref="J85:J87"/>
    <mergeCell ref="K85:K87"/>
    <mergeCell ref="L85:L87"/>
    <mergeCell ref="M85:M87"/>
    <mergeCell ref="O85:O87"/>
    <mergeCell ref="P85:P87"/>
    <mergeCell ref="Q85:Q87"/>
    <mergeCell ref="P82:P84"/>
    <mergeCell ref="Q82:Q84"/>
    <mergeCell ref="R82:R84"/>
    <mergeCell ref="S82:S84"/>
    <mergeCell ref="C82:C84"/>
    <mergeCell ref="D82:D84"/>
    <mergeCell ref="J82:J84"/>
    <mergeCell ref="K82:K84"/>
    <mergeCell ref="L82:L84"/>
    <mergeCell ref="M82:M84"/>
    <mergeCell ref="A79:A84"/>
    <mergeCell ref="B79:B84"/>
    <mergeCell ref="C79:C81"/>
    <mergeCell ref="D79:D81"/>
    <mergeCell ref="J79:J81"/>
    <mergeCell ref="K79:K81"/>
    <mergeCell ref="L79:L81"/>
    <mergeCell ref="M79:M81"/>
    <mergeCell ref="N79:N81"/>
    <mergeCell ref="X73:X75"/>
    <mergeCell ref="Y73:Y75"/>
    <mergeCell ref="R73:R75"/>
    <mergeCell ref="S73:S75"/>
    <mergeCell ref="T73:T75"/>
    <mergeCell ref="U73:U75"/>
    <mergeCell ref="V73:V75"/>
    <mergeCell ref="W73:W75"/>
    <mergeCell ref="S79:S81"/>
    <mergeCell ref="T79:T81"/>
    <mergeCell ref="U76:U78"/>
    <mergeCell ref="V76:V78"/>
    <mergeCell ref="W76:W78"/>
    <mergeCell ref="X76:X78"/>
    <mergeCell ref="Y76:Y78"/>
    <mergeCell ref="U79:U81"/>
    <mergeCell ref="V79:V81"/>
    <mergeCell ref="W79:W81"/>
    <mergeCell ref="X79:X81"/>
    <mergeCell ref="Y79:Y81"/>
    <mergeCell ref="R76:R78"/>
    <mergeCell ref="S76:S78"/>
    <mergeCell ref="T76:T78"/>
    <mergeCell ref="L73:L75"/>
    <mergeCell ref="M73:M75"/>
    <mergeCell ref="N73:N75"/>
    <mergeCell ref="O73:O75"/>
    <mergeCell ref="P73:P75"/>
    <mergeCell ref="Q73:Q75"/>
    <mergeCell ref="A73:A78"/>
    <mergeCell ref="B73:B78"/>
    <mergeCell ref="C73:C75"/>
    <mergeCell ref="D73:D75"/>
    <mergeCell ref="J73:J75"/>
    <mergeCell ref="K73:K75"/>
    <mergeCell ref="Q76:Q78"/>
    <mergeCell ref="C76:C78"/>
    <mergeCell ref="D76:D78"/>
    <mergeCell ref="J76:J78"/>
    <mergeCell ref="K76:K78"/>
    <mergeCell ref="L76:L78"/>
    <mergeCell ref="M76:M78"/>
    <mergeCell ref="N76:N78"/>
    <mergeCell ref="O76:O78"/>
    <mergeCell ref="P76:P78"/>
    <mergeCell ref="V70:V72"/>
    <mergeCell ref="W70:W72"/>
    <mergeCell ref="X70:X72"/>
    <mergeCell ref="Y70:Y72"/>
    <mergeCell ref="O70:O72"/>
    <mergeCell ref="P70:P72"/>
    <mergeCell ref="Q70:Q72"/>
    <mergeCell ref="R70:R72"/>
    <mergeCell ref="S70:S72"/>
    <mergeCell ref="T70:T72"/>
    <mergeCell ref="X64:X66"/>
    <mergeCell ref="Y64:Y66"/>
    <mergeCell ref="O64:O66"/>
    <mergeCell ref="P64:P66"/>
    <mergeCell ref="Q64:Q66"/>
    <mergeCell ref="R64:R66"/>
    <mergeCell ref="S64:S66"/>
    <mergeCell ref="T64:T66"/>
    <mergeCell ref="C70:C72"/>
    <mergeCell ref="D70:D72"/>
    <mergeCell ref="J70:J72"/>
    <mergeCell ref="K70:K72"/>
    <mergeCell ref="L70:L72"/>
    <mergeCell ref="M70:M72"/>
    <mergeCell ref="N70:N72"/>
    <mergeCell ref="X67:X69"/>
    <mergeCell ref="Y67:Y69"/>
    <mergeCell ref="R67:R69"/>
    <mergeCell ref="S67:S69"/>
    <mergeCell ref="T67:T69"/>
    <mergeCell ref="U67:U69"/>
    <mergeCell ref="V67:V69"/>
    <mergeCell ref="W67:W69"/>
    <mergeCell ref="L67:L69"/>
    <mergeCell ref="P67:P69"/>
    <mergeCell ref="Q67:Q69"/>
    <mergeCell ref="A67:A72"/>
    <mergeCell ref="B67:B72"/>
    <mergeCell ref="C67:C69"/>
    <mergeCell ref="D67:D69"/>
    <mergeCell ref="J67:J69"/>
    <mergeCell ref="K67:K69"/>
    <mergeCell ref="U64:U66"/>
    <mergeCell ref="M67:M69"/>
    <mergeCell ref="N67:N69"/>
    <mergeCell ref="O67:O69"/>
    <mergeCell ref="U70:U72"/>
    <mergeCell ref="X58:X60"/>
    <mergeCell ref="Y58:Y60"/>
    <mergeCell ref="Q58:Q60"/>
    <mergeCell ref="R58:R60"/>
    <mergeCell ref="S58:S60"/>
    <mergeCell ref="T58:T60"/>
    <mergeCell ref="U58:U60"/>
    <mergeCell ref="V58:V60"/>
    <mergeCell ref="C64:C66"/>
    <mergeCell ref="D64:D66"/>
    <mergeCell ref="J64:J66"/>
    <mergeCell ref="K64:K66"/>
    <mergeCell ref="L64:L66"/>
    <mergeCell ref="M64:M66"/>
    <mergeCell ref="N64:N66"/>
    <mergeCell ref="X61:X63"/>
    <mergeCell ref="Y61:Y63"/>
    <mergeCell ref="R61:R63"/>
    <mergeCell ref="S61:S63"/>
    <mergeCell ref="T61:T63"/>
    <mergeCell ref="U61:U63"/>
    <mergeCell ref="V61:V63"/>
    <mergeCell ref="W61:W63"/>
    <mergeCell ref="L61:L63"/>
    <mergeCell ref="P61:P63"/>
    <mergeCell ref="Q61:Q63"/>
    <mergeCell ref="A61:A66"/>
    <mergeCell ref="B61:B66"/>
    <mergeCell ref="C61:C63"/>
    <mergeCell ref="D61:D63"/>
    <mergeCell ref="J61:J63"/>
    <mergeCell ref="K61:K63"/>
    <mergeCell ref="W58:W60"/>
    <mergeCell ref="M61:M63"/>
    <mergeCell ref="N61:N63"/>
    <mergeCell ref="O61:O63"/>
    <mergeCell ref="V64:V66"/>
    <mergeCell ref="W64:W66"/>
    <mergeCell ref="U52:U54"/>
    <mergeCell ref="V52:V54"/>
    <mergeCell ref="W52:W54"/>
    <mergeCell ref="X52:X54"/>
    <mergeCell ref="Y52:Y54"/>
    <mergeCell ref="N52:N54"/>
    <mergeCell ref="O52:O54"/>
    <mergeCell ref="C58:C60"/>
    <mergeCell ref="D58:D60"/>
    <mergeCell ref="J58:J60"/>
    <mergeCell ref="K58:K60"/>
    <mergeCell ref="L58:L60"/>
    <mergeCell ref="M58:M60"/>
    <mergeCell ref="N58:N60"/>
    <mergeCell ref="O58:O60"/>
    <mergeCell ref="P58:P60"/>
    <mergeCell ref="T55:T57"/>
    <mergeCell ref="U55:U57"/>
    <mergeCell ref="V55:V57"/>
    <mergeCell ref="W55:W57"/>
    <mergeCell ref="X55:X57"/>
    <mergeCell ref="Y55:Y57"/>
    <mergeCell ref="N55:N57"/>
    <mergeCell ref="O55:O57"/>
    <mergeCell ref="R55:R57"/>
    <mergeCell ref="S55:S57"/>
    <mergeCell ref="A55:A60"/>
    <mergeCell ref="B55:B60"/>
    <mergeCell ref="C55:C57"/>
    <mergeCell ref="D55:D57"/>
    <mergeCell ref="J55:J57"/>
    <mergeCell ref="K55:K57"/>
    <mergeCell ref="L55:L57"/>
    <mergeCell ref="M55:M57"/>
    <mergeCell ref="P55:P57"/>
    <mergeCell ref="Q55:Q57"/>
    <mergeCell ref="U49:U51"/>
    <mergeCell ref="V49:V51"/>
    <mergeCell ref="W49:W51"/>
    <mergeCell ref="X49:X51"/>
    <mergeCell ref="Y49:Y51"/>
    <mergeCell ref="O49:O51"/>
    <mergeCell ref="P49:P51"/>
    <mergeCell ref="Q49:Q51"/>
    <mergeCell ref="R49:R51"/>
    <mergeCell ref="S49:S51"/>
    <mergeCell ref="T49:T51"/>
    <mergeCell ref="A49:A54"/>
    <mergeCell ref="B49:B54"/>
    <mergeCell ref="C49:C51"/>
    <mergeCell ref="D49:D51"/>
    <mergeCell ref="J49:J51"/>
    <mergeCell ref="K49:K51"/>
    <mergeCell ref="L49:L51"/>
    <mergeCell ref="M49:M51"/>
    <mergeCell ref="N49:N51"/>
    <mergeCell ref="P52:P54"/>
    <mergeCell ref="Q52:Q54"/>
    <mergeCell ref="R52:R54"/>
    <mergeCell ref="S52:S54"/>
    <mergeCell ref="C52:C54"/>
    <mergeCell ref="D52:D54"/>
    <mergeCell ref="J52:J54"/>
    <mergeCell ref="K52:K54"/>
    <mergeCell ref="L52:L54"/>
    <mergeCell ref="M52:M54"/>
    <mergeCell ref="T52:T54"/>
    <mergeCell ref="W40:W42"/>
    <mergeCell ref="X40:X42"/>
    <mergeCell ref="Y40:Y42"/>
    <mergeCell ref="Q40:Q42"/>
    <mergeCell ref="R40:R42"/>
    <mergeCell ref="S40:S42"/>
    <mergeCell ref="T40:T42"/>
    <mergeCell ref="Q46:Q48"/>
    <mergeCell ref="R46:R48"/>
    <mergeCell ref="S46:S48"/>
    <mergeCell ref="T46:T48"/>
    <mergeCell ref="X43:X45"/>
    <mergeCell ref="Y43:Y45"/>
    <mergeCell ref="R43:R45"/>
    <mergeCell ref="S43:S45"/>
    <mergeCell ref="T43:T45"/>
    <mergeCell ref="U43:U45"/>
    <mergeCell ref="V43:V45"/>
    <mergeCell ref="W43:W45"/>
    <mergeCell ref="U46:U48"/>
    <mergeCell ref="V46:V48"/>
    <mergeCell ref="W46:W48"/>
    <mergeCell ref="X46:X48"/>
    <mergeCell ref="Y46:Y48"/>
    <mergeCell ref="L43:L45"/>
    <mergeCell ref="M43:M45"/>
    <mergeCell ref="N43:N45"/>
    <mergeCell ref="O43:O45"/>
    <mergeCell ref="P43:P45"/>
    <mergeCell ref="Q43:Q45"/>
    <mergeCell ref="A43:A48"/>
    <mergeCell ref="B43:B48"/>
    <mergeCell ref="C43:C45"/>
    <mergeCell ref="D43:D45"/>
    <mergeCell ref="J43:J45"/>
    <mergeCell ref="K43:K45"/>
    <mergeCell ref="C46:C48"/>
    <mergeCell ref="D46:D48"/>
    <mergeCell ref="J46:J48"/>
    <mergeCell ref="K46:K48"/>
    <mergeCell ref="L46:L48"/>
    <mergeCell ref="M46:M48"/>
    <mergeCell ref="N46:N48"/>
    <mergeCell ref="O46:O48"/>
    <mergeCell ref="P46:P48"/>
    <mergeCell ref="T34:T36"/>
    <mergeCell ref="U34:U36"/>
    <mergeCell ref="V34:V36"/>
    <mergeCell ref="W34:W36"/>
    <mergeCell ref="X34:X36"/>
    <mergeCell ref="Y34:Y36"/>
    <mergeCell ref="U40:U42"/>
    <mergeCell ref="V40:V42"/>
    <mergeCell ref="C40:C42"/>
    <mergeCell ref="D40:D42"/>
    <mergeCell ref="J40:J42"/>
    <mergeCell ref="K40:K42"/>
    <mergeCell ref="L40:L42"/>
    <mergeCell ref="M40:M42"/>
    <mergeCell ref="N40:N42"/>
    <mergeCell ref="O40:O42"/>
    <mergeCell ref="P40:P42"/>
    <mergeCell ref="T37:T39"/>
    <mergeCell ref="U37:U39"/>
    <mergeCell ref="V37:V39"/>
    <mergeCell ref="W37:W39"/>
    <mergeCell ref="X37:X39"/>
    <mergeCell ref="Y37:Y39"/>
    <mergeCell ref="N37:N39"/>
    <mergeCell ref="P37:P39"/>
    <mergeCell ref="Q37:Q39"/>
    <mergeCell ref="R37:R39"/>
    <mergeCell ref="S37:S39"/>
    <mergeCell ref="A37:A42"/>
    <mergeCell ref="B37:B42"/>
    <mergeCell ref="C37:C39"/>
    <mergeCell ref="D37:D39"/>
    <mergeCell ref="J37:J39"/>
    <mergeCell ref="K37:K39"/>
    <mergeCell ref="L37:L39"/>
    <mergeCell ref="M37:M39"/>
    <mergeCell ref="O37:O39"/>
    <mergeCell ref="O34:O36"/>
    <mergeCell ref="P34:P36"/>
    <mergeCell ref="Q34:Q36"/>
    <mergeCell ref="R34:R36"/>
    <mergeCell ref="S34:S36"/>
    <mergeCell ref="C34:C36"/>
    <mergeCell ref="D34:D36"/>
    <mergeCell ref="J34:J36"/>
    <mergeCell ref="K34:K36"/>
    <mergeCell ref="L34:L36"/>
    <mergeCell ref="M34:M36"/>
    <mergeCell ref="U31:U33"/>
    <mergeCell ref="V31:V33"/>
    <mergeCell ref="W31:W33"/>
    <mergeCell ref="X31:X33"/>
    <mergeCell ref="Y31:Y33"/>
    <mergeCell ref="O31:O33"/>
    <mergeCell ref="P31:P33"/>
    <mergeCell ref="Q31:Q33"/>
    <mergeCell ref="R31:R33"/>
    <mergeCell ref="S31:S33"/>
    <mergeCell ref="T31:T33"/>
    <mergeCell ref="W28:W30"/>
    <mergeCell ref="X28:X30"/>
    <mergeCell ref="Y28:Y30"/>
    <mergeCell ref="O28:O30"/>
    <mergeCell ref="P28:P30"/>
    <mergeCell ref="Q28:Q30"/>
    <mergeCell ref="R28:R30"/>
    <mergeCell ref="S28:S30"/>
    <mergeCell ref="T28:T30"/>
    <mergeCell ref="A31:A36"/>
    <mergeCell ref="B31:B36"/>
    <mergeCell ref="C31:C33"/>
    <mergeCell ref="D31:D33"/>
    <mergeCell ref="J31:J33"/>
    <mergeCell ref="K31:K33"/>
    <mergeCell ref="L31:L33"/>
    <mergeCell ref="M31:M33"/>
    <mergeCell ref="N31:N33"/>
    <mergeCell ref="N34:N36"/>
    <mergeCell ref="C28:C30"/>
    <mergeCell ref="D28:D30"/>
    <mergeCell ref="J28:J30"/>
    <mergeCell ref="K28:K30"/>
    <mergeCell ref="L28:L30"/>
    <mergeCell ref="M28:M30"/>
    <mergeCell ref="N28:N30"/>
    <mergeCell ref="U22:U24"/>
    <mergeCell ref="V22:V24"/>
    <mergeCell ref="R25:R27"/>
    <mergeCell ref="S25:S27"/>
    <mergeCell ref="T25:T27"/>
    <mergeCell ref="U25:U27"/>
    <mergeCell ref="V25:V27"/>
    <mergeCell ref="L25:L27"/>
    <mergeCell ref="M25:M27"/>
    <mergeCell ref="U28:U30"/>
    <mergeCell ref="V28:V30"/>
    <mergeCell ref="W22:W24"/>
    <mergeCell ref="X22:X24"/>
    <mergeCell ref="Y22:Y24"/>
    <mergeCell ref="O22:O24"/>
    <mergeCell ref="P22:P24"/>
    <mergeCell ref="Q22:Q24"/>
    <mergeCell ref="R22:R24"/>
    <mergeCell ref="N25:N27"/>
    <mergeCell ref="O25:O27"/>
    <mergeCell ref="P25:P27"/>
    <mergeCell ref="Q25:Q27"/>
    <mergeCell ref="N22:N24"/>
    <mergeCell ref="X25:X27"/>
    <mergeCell ref="Y25:Y27"/>
    <mergeCell ref="W25:W27"/>
    <mergeCell ref="A25:A30"/>
    <mergeCell ref="B25:B30"/>
    <mergeCell ref="C25:C27"/>
    <mergeCell ref="D25:D27"/>
    <mergeCell ref="J25:J27"/>
    <mergeCell ref="K25:K27"/>
    <mergeCell ref="X19:X21"/>
    <mergeCell ref="Y19:Y21"/>
    <mergeCell ref="R19:R21"/>
    <mergeCell ref="S19:S21"/>
    <mergeCell ref="T19:T21"/>
    <mergeCell ref="U19:U21"/>
    <mergeCell ref="V19:V21"/>
    <mergeCell ref="W19:W21"/>
    <mergeCell ref="L19:L21"/>
    <mergeCell ref="M19:M21"/>
    <mergeCell ref="S22:S24"/>
    <mergeCell ref="T22:T24"/>
    <mergeCell ref="C22:C24"/>
    <mergeCell ref="D22:D24"/>
    <mergeCell ref="J22:J24"/>
    <mergeCell ref="K22:K24"/>
    <mergeCell ref="L22:L24"/>
    <mergeCell ref="M22:M24"/>
    <mergeCell ref="W16:W18"/>
    <mergeCell ref="X16:X18"/>
    <mergeCell ref="Y16:Y18"/>
    <mergeCell ref="O16:O18"/>
    <mergeCell ref="P16:P18"/>
    <mergeCell ref="Q16:Q18"/>
    <mergeCell ref="R16:R18"/>
    <mergeCell ref="S16:S18"/>
    <mergeCell ref="T16:T18"/>
    <mergeCell ref="N19:N21"/>
    <mergeCell ref="O19:O21"/>
    <mergeCell ref="P19:P21"/>
    <mergeCell ref="Q19:Q21"/>
    <mergeCell ref="A19:A24"/>
    <mergeCell ref="B19:B24"/>
    <mergeCell ref="C19:C21"/>
    <mergeCell ref="D19:D21"/>
    <mergeCell ref="J19:J21"/>
    <mergeCell ref="K19:K21"/>
    <mergeCell ref="C16:C18"/>
    <mergeCell ref="D16:D18"/>
    <mergeCell ref="J16:J18"/>
    <mergeCell ref="K16:K18"/>
    <mergeCell ref="L16:L18"/>
    <mergeCell ref="M16:M18"/>
    <mergeCell ref="N16:N18"/>
    <mergeCell ref="U10:U12"/>
    <mergeCell ref="V10:V12"/>
    <mergeCell ref="R13:R15"/>
    <mergeCell ref="S13:S15"/>
    <mergeCell ref="T13:T15"/>
    <mergeCell ref="U13:U15"/>
    <mergeCell ref="V13:V15"/>
    <mergeCell ref="L13:L15"/>
    <mergeCell ref="M13:M15"/>
    <mergeCell ref="U16:U18"/>
    <mergeCell ref="V16:V18"/>
    <mergeCell ref="W10:W12"/>
    <mergeCell ref="X10:X12"/>
    <mergeCell ref="Y10:Y12"/>
    <mergeCell ref="O10:O12"/>
    <mergeCell ref="P10:P12"/>
    <mergeCell ref="Q10:Q12"/>
    <mergeCell ref="R10:R12"/>
    <mergeCell ref="N13:N15"/>
    <mergeCell ref="O13:O15"/>
    <mergeCell ref="P13:P15"/>
    <mergeCell ref="Q13:Q15"/>
    <mergeCell ref="N10:N12"/>
    <mergeCell ref="X13:X15"/>
    <mergeCell ref="Y13:Y15"/>
    <mergeCell ref="W13:W15"/>
    <mergeCell ref="A13:A18"/>
    <mergeCell ref="B13:B18"/>
    <mergeCell ref="C13:C15"/>
    <mergeCell ref="D13:D15"/>
    <mergeCell ref="J13:J15"/>
    <mergeCell ref="K13:K15"/>
    <mergeCell ref="X7:X9"/>
    <mergeCell ref="Y7:Y9"/>
    <mergeCell ref="R7:R9"/>
    <mergeCell ref="S7:S9"/>
    <mergeCell ref="T7:T9"/>
    <mergeCell ref="U7:U9"/>
    <mergeCell ref="V7:V9"/>
    <mergeCell ref="W7:W9"/>
    <mergeCell ref="L7:L9"/>
    <mergeCell ref="M7:M9"/>
    <mergeCell ref="S10:S12"/>
    <mergeCell ref="T10:T12"/>
    <mergeCell ref="C10:C12"/>
    <mergeCell ref="D10:D12"/>
    <mergeCell ref="J10:J12"/>
    <mergeCell ref="K10:K12"/>
    <mergeCell ref="L10:L12"/>
    <mergeCell ref="M10:M12"/>
    <mergeCell ref="N7:N9"/>
    <mergeCell ref="O7:O9"/>
    <mergeCell ref="P7:P9"/>
    <mergeCell ref="Q7:Q9"/>
    <mergeCell ref="A7:A12"/>
    <mergeCell ref="B7:B12"/>
    <mergeCell ref="C7:C9"/>
    <mergeCell ref="D7:D9"/>
    <mergeCell ref="J7:J9"/>
    <mergeCell ref="K7:K9"/>
  </mergeCells>
  <dataValidations count="1">
    <dataValidation type="list" allowBlank="1" showInputMessage="1" showErrorMessage="1" sqref="E7:E145">
      <formula1>#REF!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6"/>
  <sheetViews>
    <sheetView tabSelected="1" workbookViewId="0">
      <selection activeCell="B12" sqref="B12"/>
    </sheetView>
  </sheetViews>
  <sheetFormatPr baseColWidth="10" defaultRowHeight="15"/>
  <cols>
    <col min="1" max="1" width="14.140625" bestFit="1" customWidth="1"/>
    <col min="2" max="2" width="62.140625" customWidth="1"/>
    <col min="3" max="4" width="14.140625" bestFit="1" customWidth="1"/>
  </cols>
  <sheetData>
    <row r="1" spans="1:4">
      <c r="A1" t="s">
        <v>97</v>
      </c>
    </row>
    <row r="2" spans="1:4">
      <c r="A2" s="189" t="s">
        <v>74</v>
      </c>
      <c r="B2" s="190" t="s">
        <v>75</v>
      </c>
      <c r="C2" s="190" t="s">
        <v>98</v>
      </c>
      <c r="D2" s="190" t="s">
        <v>99</v>
      </c>
    </row>
    <row r="3" spans="1:4" ht="20.100000000000001" customHeight="1">
      <c r="A3" s="191">
        <v>1.4</v>
      </c>
      <c r="B3" s="188" t="s">
        <v>76</v>
      </c>
      <c r="C3" s="187"/>
      <c r="D3" s="187"/>
    </row>
    <row r="4" spans="1:4" ht="20.100000000000001" customHeight="1">
      <c r="A4" s="191">
        <v>1.6</v>
      </c>
      <c r="B4" s="188" t="s">
        <v>77</v>
      </c>
      <c r="C4" s="187"/>
      <c r="D4" s="187"/>
    </row>
    <row r="5" spans="1:4" ht="20.100000000000001" customHeight="1">
      <c r="A5" s="191">
        <v>1.8</v>
      </c>
      <c r="B5" s="188" t="s">
        <v>78</v>
      </c>
      <c r="C5" s="187"/>
      <c r="D5" s="187"/>
    </row>
    <row r="6" spans="1:4" ht="20.100000000000001" customHeight="1">
      <c r="A6" s="191">
        <v>2</v>
      </c>
      <c r="B6" s="188" t="s">
        <v>79</v>
      </c>
      <c r="C6" s="187"/>
      <c r="D6" s="187"/>
    </row>
    <row r="7" spans="1:4" ht="20.100000000000001" customHeight="1">
      <c r="A7" s="191">
        <v>2.14</v>
      </c>
      <c r="B7" s="188" t="s">
        <v>80</v>
      </c>
      <c r="C7" s="187"/>
      <c r="D7" s="187"/>
    </row>
    <row r="8" spans="1:4" ht="20.100000000000001" customHeight="1">
      <c r="A8" s="191">
        <v>2.2400000000000002</v>
      </c>
      <c r="B8" s="188" t="s">
        <v>81</v>
      </c>
      <c r="C8" s="187"/>
      <c r="D8" s="187"/>
    </row>
    <row r="9" spans="1:4" ht="20.100000000000001" customHeight="1">
      <c r="A9" s="191">
        <v>2.5</v>
      </c>
      <c r="B9" s="188" t="s">
        <v>82</v>
      </c>
      <c r="C9" s="187"/>
      <c r="D9" s="187"/>
    </row>
    <row r="10" spans="1:4" ht="20.100000000000001" customHeight="1">
      <c r="A10" s="191">
        <v>1.1599999999999999</v>
      </c>
      <c r="B10" s="188" t="s">
        <v>83</v>
      </c>
      <c r="C10" s="187"/>
      <c r="D10" s="187"/>
    </row>
    <row r="11" spans="1:4" ht="20.100000000000001" customHeight="1">
      <c r="A11" s="191">
        <v>1.23</v>
      </c>
      <c r="B11" s="188" t="s">
        <v>84</v>
      </c>
      <c r="C11" s="187"/>
      <c r="D11" s="187"/>
    </row>
    <row r="12" spans="1:4" ht="20.100000000000001" customHeight="1">
      <c r="A12" s="191">
        <v>1.35</v>
      </c>
      <c r="B12" s="188" t="s">
        <v>85</v>
      </c>
      <c r="C12" s="187"/>
      <c r="D12" s="187"/>
    </row>
    <row r="13" spans="1:4" ht="20.100000000000001" customHeight="1">
      <c r="A13" s="191">
        <v>1.54</v>
      </c>
      <c r="B13" s="188" t="s">
        <v>86</v>
      </c>
      <c r="C13" s="187"/>
      <c r="D13" s="187"/>
    </row>
    <row r="14" spans="1:4" ht="20.100000000000001" customHeight="1">
      <c r="A14" s="191">
        <v>1.72</v>
      </c>
      <c r="B14" s="188" t="s">
        <v>87</v>
      </c>
      <c r="C14" s="187"/>
      <c r="D14" s="187"/>
    </row>
    <row r="15" spans="1:4" ht="20.100000000000001" customHeight="1">
      <c r="A15" s="191">
        <v>1.74</v>
      </c>
      <c r="B15" s="188" t="s">
        <v>87</v>
      </c>
      <c r="C15" s="187"/>
      <c r="D15" s="187"/>
    </row>
    <row r="16" spans="1:4" ht="20.100000000000001" customHeight="1">
      <c r="A16" s="191">
        <v>1.78</v>
      </c>
      <c r="B16" s="188" t="s">
        <v>88</v>
      </c>
      <c r="C16" s="187"/>
      <c r="D16" s="187"/>
    </row>
    <row r="17" spans="1:4" ht="20.100000000000001" customHeight="1">
      <c r="A17" s="191">
        <v>2.15</v>
      </c>
      <c r="B17" s="188" t="s">
        <v>89</v>
      </c>
      <c r="C17" s="187"/>
      <c r="D17" s="187"/>
    </row>
    <row r="18" spans="1:4" ht="20.100000000000001" customHeight="1">
      <c r="A18" s="191">
        <v>2.6</v>
      </c>
      <c r="B18" s="188" t="s">
        <v>90</v>
      </c>
      <c r="C18" s="187"/>
      <c r="D18" s="187"/>
    </row>
    <row r="19" spans="1:4" ht="20.100000000000001" customHeight="1">
      <c r="A19" s="191">
        <v>2.76</v>
      </c>
      <c r="B19" s="188" t="s">
        <v>91</v>
      </c>
      <c r="C19" s="187"/>
      <c r="D19" s="187"/>
    </row>
    <row r="20" spans="1:4" ht="20.100000000000001" customHeight="1">
      <c r="A20" s="191">
        <v>2.8</v>
      </c>
      <c r="B20" s="188" t="s">
        <v>92</v>
      </c>
      <c r="C20" s="187"/>
      <c r="D20" s="187"/>
    </row>
    <row r="21" spans="1:4" ht="20.100000000000001" customHeight="1">
      <c r="A21" s="191">
        <v>2.9</v>
      </c>
      <c r="B21" s="188" t="s">
        <v>93</v>
      </c>
      <c r="C21" s="187"/>
      <c r="D21" s="187"/>
    </row>
    <row r="22" spans="1:4" ht="20.100000000000001" customHeight="1">
      <c r="A22" s="191">
        <v>2.94</v>
      </c>
      <c r="B22" s="188" t="s">
        <v>93</v>
      </c>
      <c r="C22" s="187"/>
      <c r="D22" s="187"/>
    </row>
    <row r="23" spans="1:4" ht="20.100000000000001" customHeight="1">
      <c r="A23" s="191">
        <v>2.96</v>
      </c>
      <c r="B23" s="188" t="s">
        <v>93</v>
      </c>
      <c r="C23" s="187"/>
      <c r="D23" s="187"/>
    </row>
    <row r="24" spans="1:4" ht="20.100000000000001" customHeight="1">
      <c r="A24" s="191">
        <v>3.08</v>
      </c>
      <c r="B24" s="188" t="s">
        <v>94</v>
      </c>
      <c r="C24" s="187"/>
      <c r="D24" s="187"/>
    </row>
    <row r="25" spans="1:4" ht="20.100000000000001" customHeight="1">
      <c r="A25" s="191">
        <v>3.15</v>
      </c>
      <c r="B25" s="188" t="s">
        <v>95</v>
      </c>
      <c r="C25" s="187"/>
      <c r="D25" s="187"/>
    </row>
    <row r="26" spans="1:4" ht="20.100000000000001" customHeight="1">
      <c r="A26" s="191">
        <v>3.45</v>
      </c>
      <c r="B26" s="188" t="s">
        <v>96</v>
      </c>
      <c r="C26" s="187"/>
      <c r="D26" s="187"/>
    </row>
  </sheetData>
  <pageMargins left="0" right="0" top="0.74803149606299213" bottom="0.74803149606299213" header="0.31496062992125984" footer="0.31496062992125984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TC</vt:lpstr>
      <vt:lpstr>Dec</vt:lpstr>
      <vt:lpstr>Feuil1</vt:lpstr>
      <vt:lpstr>LISTE</vt:lpstr>
      <vt:lpstr>TC!Zone_d_impression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Rachid  AACHIQ.</dc:creator>
  <cp:lastModifiedBy>A.AFOUKASS</cp:lastModifiedBy>
  <cp:lastPrinted>2021-12-15T14:05:59Z</cp:lastPrinted>
  <dcterms:created xsi:type="dcterms:W3CDTF">2018-07-18T07:53:53Z</dcterms:created>
  <dcterms:modified xsi:type="dcterms:W3CDTF">2021-12-15T14:27:38Z</dcterms:modified>
</cp:coreProperties>
</file>